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0" windowWidth="423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<sst xmlns="http://schemas.openxmlformats.org/spreadsheetml/2006/main" count="80" uniqueCount="75">
  <si>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Year</t>
  </si>
  <si>
    <t>REVENUE</t>
  </si>
  <si>
    <t>Number of Households</t>
  </si>
  <si>
    <t>Inflation Rate</t>
  </si>
  <si>
    <t>Tax Rate</t>
  </si>
  <si>
    <t>COSTS</t>
  </si>
  <si>
    <t>Operating Costs</t>
  </si>
  <si>
    <t>Investment Costs</t>
  </si>
  <si>
    <t>Cable Service Average Monthly Charge per Subscriber</t>
  </si>
  <si>
    <t>Depreciation</t>
  </si>
  <si>
    <t>Earnings Before Interest and Taxes</t>
  </si>
  <si>
    <t>Taxes</t>
  </si>
  <si>
    <t>Continuing Value</t>
  </si>
  <si>
    <t>Valuation Up to Continuing Value</t>
  </si>
  <si>
    <t>Earnings Before Interest but After Taxes</t>
  </si>
  <si>
    <t>Gross Cash Flow</t>
  </si>
  <si>
    <t>Growth in Cable Subscribers</t>
  </si>
  <si>
    <t>Current Subscription Fees</t>
  </si>
  <si>
    <t>Growth in Subscription Fees</t>
  </si>
  <si>
    <t>Other Revenue (advertising, pay-per-view, home shopping, misc.)</t>
  </si>
  <si>
    <t>Total Revenue</t>
  </si>
  <si>
    <t>Number of Years to Peak Penetration</t>
  </si>
  <si>
    <t>Average Annual Operating Cost per Cable Subscriber @60%  Penetration</t>
  </si>
  <si>
    <t>Incremental Annual Operating Cost per Cable Subscriber</t>
  </si>
  <si>
    <t>Programming, billing, bad debt, churn</t>
  </si>
  <si>
    <t>Incremental Investment Cost per Cable Subscriber</t>
  </si>
  <si>
    <t>Subscriber premises equipment, drop line, working capital</t>
  </si>
  <si>
    <t>Buyer Cash Flow</t>
  </si>
  <si>
    <t>Buyer Value per Cable Subscriber</t>
  </si>
  <si>
    <t>Average Investment Cost per Cable Subscriber @60% Penetration</t>
  </si>
  <si>
    <t>Current Cable Subscriber Penetration</t>
  </si>
  <si>
    <t>Value per Cable Subscriber</t>
  </si>
  <si>
    <t>CASH FLOW FROM OPERATIONS</t>
  </si>
  <si>
    <t>Total Valuation</t>
  </si>
  <si>
    <t>Value to Stockholders per Share</t>
  </si>
  <si>
    <t>Inputs:</t>
  </si>
  <si>
    <t>Total Number of Subscribers Served by the Company</t>
  </si>
  <si>
    <t>Derived  Numbers:</t>
  </si>
  <si>
    <t>Cost of Equity</t>
  </si>
  <si>
    <t>Buyer Continuing Value</t>
  </si>
  <si>
    <t>Total Buyer Valuation</t>
  </si>
  <si>
    <t>Buyer Value Given Investment in Year 0 is Sunk Cost</t>
  </si>
  <si>
    <t>Value for Cable Business</t>
  </si>
  <si>
    <t>Share Price Range from 9/30/97 to 3/31/98</t>
  </si>
  <si>
    <t>CABLE SYSTEM VALUATION- TCI (AS OF 9/30/97)</t>
  </si>
  <si>
    <t>CORPORATE VALUATION</t>
  </si>
  <si>
    <t>Cash Flow Multiple (Alternative Valuation Method Used Here as a Check)</t>
  </si>
  <si>
    <t>Value of Debt (including Preferred Stock)*</t>
  </si>
  <si>
    <t>Value of Equity*</t>
  </si>
  <si>
    <t>Debt/Equity Ratio*</t>
  </si>
  <si>
    <t>Beta*</t>
  </si>
  <si>
    <t>Cost of Debt (pre-Tax)*</t>
  </si>
  <si>
    <t>Number of Shares of Stock*</t>
  </si>
  <si>
    <t>(excludes cable modem)</t>
  </si>
  <si>
    <t>SINGLE SYSTEM OPERATION</t>
  </si>
  <si>
    <t>MULTIPLE SYSTEM OPERATION</t>
  </si>
  <si>
    <t>MULTIPLE SYSTEM FINANCING</t>
  </si>
  <si>
    <t>CHECK</t>
  </si>
  <si>
    <t>Percent Difference in Valuations</t>
  </si>
  <si>
    <t>This will substitute for capital expenditures to rebuild and upgrade aging cable plant</t>
  </si>
  <si>
    <t xml:space="preserve">   Value of TCI</t>
  </si>
  <si>
    <t>$33 1/16 - $19 1/2</t>
  </si>
  <si>
    <t>Straight line, no salvage value</t>
  </si>
  <si>
    <t>Number of Cable Subscribers (Beginning of Year)</t>
  </si>
  <si>
    <t>Number of Cable Subscribers (End of Year)</t>
  </si>
  <si>
    <t>Average Number of Cable Subscribers</t>
  </si>
  <si>
    <t>Risk Free Rate of Return (US Treasury 20 Year Bond Yeild 1926-1996)**</t>
  </si>
  <si>
    <t>Average Return on Large Company Stocks (1926-1996)**</t>
  </si>
  <si>
    <t>**Stocks, Bonds, Bills, and Inflation 1997 Yearbook</t>
  </si>
  <si>
    <t>*Value Line (figures as of 9/30/97)</t>
  </si>
  <si>
    <t>Weighted Average Cost of Capital (after-Tax)***</t>
  </si>
  <si>
    <t>***This sets the WACC for the entire model, except for buyer valuation</t>
  </si>
  <si>
    <t>Buyer Weighted Average Cost of Capital****</t>
  </si>
  <si>
    <t>****This is the median WACC for the Transportation, Communications, and Utility Industry Sector according to Ibbotson Associates 1997</t>
  </si>
  <si>
    <t>Share Price Range at End of Day 9/30/97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</si>
</sst>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_);[Red]\(&quot;$&quot;#,##0.0\)"/>
    <numFmt numFmtId="167" formatCode="&quot;$&quot;#,##0.00"/>
    <numFmt numFmtId="168" formatCode="#,##0.0"/>
    <numFmt numFmtId="169" formatCode="0.0"/>
    <numFmt numFmtId="170" formatCode="&quot;$&quot;#,##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6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6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7" fontId="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tabSelected="1" workbookViewId="0" topLeftCell="A79">
      <selection activeCell="C100" sqref="C100"/>
    </sheetView>
  </sheetViews>
  <sheetFormatPr defaultColWidth="9.140625" defaultRowHeight="12.75"/>
  <cols>
    <col min="1" max="1" width="60.7109375" style="0" customWidth="1"/>
    <col min="2" max="3" width="15.7109375" style="0" customWidth="1"/>
    <col min="4" max="23" width="12.7109375" style="0" customWidth="1"/>
  </cols>
  <sheetData>
    <row r="1" ht="18">
      <c r="A1" s="29" t="s">
        <v>44</v>
      </c>
    </row>
    <row r="2" ht="12.75">
      <c r="A2" s="27" t="s">
        <v>53</v>
      </c>
    </row>
    <row r="3" ht="12.75">
      <c r="A3" s="11"/>
    </row>
    <row r="4" ht="12.75">
      <c r="A4" s="27" t="s">
        <v>54</v>
      </c>
    </row>
    <row r="5" spans="1:2" ht="12.75">
      <c r="A5" t="s">
        <v>2</v>
      </c>
      <c r="B5" s="19">
        <v>25600</v>
      </c>
    </row>
    <row r="6" spans="1:3" ht="12.75">
      <c r="A6" t="s">
        <v>30</v>
      </c>
      <c r="B6" s="1">
        <v>0.6</v>
      </c>
      <c r="C6" s="1"/>
    </row>
    <row r="7" spans="1:3" ht="12.75">
      <c r="A7" t="str">
        <f>CONCATENATE("Peak Penetration in Cable Subscribers by Year ",$B$8)</f>
        <v>Peak Penetration in Cable Subscribers by Year 20</v>
      </c>
      <c r="B7" s="1">
        <v>0.7</v>
      </c>
      <c r="C7" s="1"/>
    </row>
    <row r="8" spans="1:3" ht="12.75">
      <c r="A8" t="s">
        <v>21</v>
      </c>
      <c r="B8" s="10">
        <v>20</v>
      </c>
      <c r="C8" s="10"/>
    </row>
    <row r="9" spans="1:2" ht="12.75">
      <c r="A9" t="s">
        <v>8</v>
      </c>
      <c r="B9" s="2">
        <v>35</v>
      </c>
    </row>
    <row r="10" spans="1:3" ht="12.75">
      <c r="A10" t="s">
        <v>3</v>
      </c>
      <c r="B10" s="1">
        <v>0.02</v>
      </c>
      <c r="C10" s="1"/>
    </row>
    <row r="11" spans="1:3" ht="12.75">
      <c r="A11" t="s">
        <v>4</v>
      </c>
      <c r="B11" s="1">
        <v>0.32</v>
      </c>
      <c r="C11" s="1"/>
    </row>
    <row r="12" spans="1:3" ht="12.75">
      <c r="A12" t="s">
        <v>22</v>
      </c>
      <c r="B12" s="2">
        <v>235</v>
      </c>
      <c r="C12" s="2"/>
    </row>
    <row r="13" spans="1:3" ht="12.75">
      <c r="A13" t="s">
        <v>23</v>
      </c>
      <c r="B13" s="2">
        <f>118.5+8+5+7.5</f>
        <v>139</v>
      </c>
      <c r="C13" t="s">
        <v>24</v>
      </c>
    </row>
    <row r="14" spans="1:3" ht="12.75">
      <c r="A14" t="s">
        <v>29</v>
      </c>
      <c r="B14" s="2">
        <v>650</v>
      </c>
      <c r="C14" s="2" t="s">
        <v>59</v>
      </c>
    </row>
    <row r="15" spans="1:3" ht="12.75">
      <c r="A15" t="s">
        <v>25</v>
      </c>
      <c r="B15" s="2">
        <f>36.5+180+35</f>
        <v>251.5</v>
      </c>
      <c r="C15" t="s">
        <v>26</v>
      </c>
    </row>
    <row r="16" spans="1:2" ht="12.75">
      <c r="A16" t="s">
        <v>9</v>
      </c>
      <c r="B16" t="s">
        <v>62</v>
      </c>
    </row>
    <row r="18" spans="3:22" ht="12.75">
      <c r="C18" s="3" t="s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s="17" customFormat="1" ht="13.5" thickBot="1">
      <c r="B19" s="18">
        <v>0</v>
      </c>
      <c r="C19" s="18">
        <v>1</v>
      </c>
      <c r="D19" s="18">
        <v>2</v>
      </c>
      <c r="E19" s="18">
        <v>3</v>
      </c>
      <c r="F19" s="18">
        <v>4</v>
      </c>
      <c r="G19" s="18">
        <v>5</v>
      </c>
      <c r="H19" s="18">
        <v>6</v>
      </c>
      <c r="I19" s="18">
        <v>7</v>
      </c>
      <c r="J19" s="18">
        <v>8</v>
      </c>
      <c r="K19" s="18">
        <v>9</v>
      </c>
      <c r="L19" s="18">
        <v>10</v>
      </c>
      <c r="M19" s="18">
        <v>11</v>
      </c>
      <c r="N19" s="18">
        <v>12</v>
      </c>
      <c r="O19" s="18">
        <v>13</v>
      </c>
      <c r="P19" s="18">
        <v>14</v>
      </c>
      <c r="Q19" s="18">
        <v>15</v>
      </c>
      <c r="R19" s="18">
        <v>16</v>
      </c>
      <c r="S19" s="18">
        <v>17</v>
      </c>
      <c r="T19" s="18">
        <v>18</v>
      </c>
      <c r="U19" s="18">
        <v>19</v>
      </c>
      <c r="V19" s="18">
        <v>20</v>
      </c>
    </row>
    <row r="20" spans="1:22" ht="13.5" thickTop="1">
      <c r="A20" t="s">
        <v>63</v>
      </c>
      <c r="B20">
        <f>$B$5*$B$6</f>
        <v>15360</v>
      </c>
      <c r="C20">
        <f>B22</f>
        <v>15360</v>
      </c>
      <c r="D20">
        <f aca="true" t="shared" si="0" ref="D20:V20">C22</f>
        <v>15488</v>
      </c>
      <c r="E20">
        <f t="shared" si="0"/>
        <v>15616</v>
      </c>
      <c r="F20">
        <f t="shared" si="0"/>
        <v>15744</v>
      </c>
      <c r="G20">
        <f t="shared" si="0"/>
        <v>15872</v>
      </c>
      <c r="H20">
        <f t="shared" si="0"/>
        <v>16000</v>
      </c>
      <c r="I20">
        <f t="shared" si="0"/>
        <v>16128</v>
      </c>
      <c r="J20">
        <f t="shared" si="0"/>
        <v>16256</v>
      </c>
      <c r="K20">
        <f t="shared" si="0"/>
        <v>16384</v>
      </c>
      <c r="L20">
        <f t="shared" si="0"/>
        <v>16512</v>
      </c>
      <c r="M20">
        <f t="shared" si="0"/>
        <v>16640</v>
      </c>
      <c r="N20">
        <f t="shared" si="0"/>
        <v>16768</v>
      </c>
      <c r="O20">
        <f t="shared" si="0"/>
        <v>16896</v>
      </c>
      <c r="P20">
        <f t="shared" si="0"/>
        <v>17024</v>
      </c>
      <c r="Q20">
        <f t="shared" si="0"/>
        <v>17152</v>
      </c>
      <c r="R20">
        <f t="shared" si="0"/>
        <v>17280</v>
      </c>
      <c r="S20">
        <f t="shared" si="0"/>
        <v>17408</v>
      </c>
      <c r="T20">
        <f t="shared" si="0"/>
        <v>17536</v>
      </c>
      <c r="U20">
        <f t="shared" si="0"/>
        <v>17664</v>
      </c>
      <c r="V20">
        <f t="shared" si="0"/>
        <v>17792</v>
      </c>
    </row>
    <row r="21" spans="1:22" ht="12.75">
      <c r="A21" t="s">
        <v>16</v>
      </c>
      <c r="B21">
        <v>0</v>
      </c>
      <c r="C21">
        <f>IF(C19-$B$8&lt;=0,$B$5*($B$7-$B$6)/$B$8,0)</f>
        <v>127.99999999999997</v>
      </c>
      <c r="D21">
        <f aca="true" t="shared" si="1" ref="D21:V21">IF(D19-$B$8&lt;=0,$B$5*($B$7-$B$6)/$B$8,0)</f>
        <v>127.99999999999997</v>
      </c>
      <c r="E21">
        <f t="shared" si="1"/>
        <v>127.99999999999997</v>
      </c>
      <c r="F21">
        <f t="shared" si="1"/>
        <v>127.99999999999997</v>
      </c>
      <c r="G21">
        <f t="shared" si="1"/>
        <v>127.99999999999997</v>
      </c>
      <c r="H21">
        <f t="shared" si="1"/>
        <v>127.99999999999997</v>
      </c>
      <c r="I21">
        <f t="shared" si="1"/>
        <v>127.99999999999997</v>
      </c>
      <c r="J21">
        <f t="shared" si="1"/>
        <v>127.99999999999997</v>
      </c>
      <c r="K21">
        <f t="shared" si="1"/>
        <v>127.99999999999997</v>
      </c>
      <c r="L21">
        <f t="shared" si="1"/>
        <v>127.99999999999997</v>
      </c>
      <c r="M21">
        <f t="shared" si="1"/>
        <v>127.99999999999997</v>
      </c>
      <c r="N21">
        <f t="shared" si="1"/>
        <v>127.99999999999997</v>
      </c>
      <c r="O21">
        <f t="shared" si="1"/>
        <v>127.99999999999997</v>
      </c>
      <c r="P21">
        <f t="shared" si="1"/>
        <v>127.99999999999997</v>
      </c>
      <c r="Q21">
        <f t="shared" si="1"/>
        <v>127.99999999999997</v>
      </c>
      <c r="R21">
        <f t="shared" si="1"/>
        <v>127.99999999999997</v>
      </c>
      <c r="S21">
        <f t="shared" si="1"/>
        <v>127.99999999999997</v>
      </c>
      <c r="T21">
        <f t="shared" si="1"/>
        <v>127.99999999999997</v>
      </c>
      <c r="U21">
        <f t="shared" si="1"/>
        <v>127.99999999999997</v>
      </c>
      <c r="V21">
        <f t="shared" si="1"/>
        <v>127.99999999999997</v>
      </c>
    </row>
    <row r="22" spans="1:22" s="8" customFormat="1" ht="12.75">
      <c r="A22" s="8" t="s">
        <v>64</v>
      </c>
      <c r="B22" s="8">
        <f>SUM(B20:B21)</f>
        <v>15360</v>
      </c>
      <c r="C22" s="8">
        <f>SUM(C20:C21)</f>
        <v>15488</v>
      </c>
      <c r="D22" s="8">
        <f aca="true" t="shared" si="2" ref="D22:V22">SUM(D20:D21)</f>
        <v>15616</v>
      </c>
      <c r="E22" s="8">
        <f t="shared" si="2"/>
        <v>15744</v>
      </c>
      <c r="F22" s="8">
        <f t="shared" si="2"/>
        <v>15872</v>
      </c>
      <c r="G22" s="8">
        <f t="shared" si="2"/>
        <v>16000</v>
      </c>
      <c r="H22" s="8">
        <f t="shared" si="2"/>
        <v>16128</v>
      </c>
      <c r="I22" s="8">
        <f t="shared" si="2"/>
        <v>16256</v>
      </c>
      <c r="J22" s="8">
        <f t="shared" si="2"/>
        <v>16384</v>
      </c>
      <c r="K22" s="8">
        <f t="shared" si="2"/>
        <v>16512</v>
      </c>
      <c r="L22" s="8">
        <f t="shared" si="2"/>
        <v>16640</v>
      </c>
      <c r="M22" s="8">
        <f t="shared" si="2"/>
        <v>16768</v>
      </c>
      <c r="N22" s="8">
        <f t="shared" si="2"/>
        <v>16896</v>
      </c>
      <c r="O22" s="8">
        <f t="shared" si="2"/>
        <v>17024</v>
      </c>
      <c r="P22" s="8">
        <f t="shared" si="2"/>
        <v>17152</v>
      </c>
      <c r="Q22" s="8">
        <f t="shared" si="2"/>
        <v>17280</v>
      </c>
      <c r="R22" s="8">
        <f t="shared" si="2"/>
        <v>17408</v>
      </c>
      <c r="S22" s="8">
        <f t="shared" si="2"/>
        <v>17536</v>
      </c>
      <c r="T22" s="8">
        <f t="shared" si="2"/>
        <v>17664</v>
      </c>
      <c r="U22" s="8">
        <f t="shared" si="2"/>
        <v>17792</v>
      </c>
      <c r="V22" s="8">
        <f t="shared" si="2"/>
        <v>17920</v>
      </c>
    </row>
    <row r="23" spans="1:22" ht="12.75">
      <c r="A23" s="6" t="s">
        <v>65</v>
      </c>
      <c r="B23">
        <f>B20+B21/2</f>
        <v>15360</v>
      </c>
      <c r="C23">
        <f aca="true" t="shared" si="3" ref="C23:V23">C20+C21/2</f>
        <v>15424</v>
      </c>
      <c r="D23">
        <f t="shared" si="3"/>
        <v>15552</v>
      </c>
      <c r="E23">
        <f t="shared" si="3"/>
        <v>15680</v>
      </c>
      <c r="F23">
        <f t="shared" si="3"/>
        <v>15808</v>
      </c>
      <c r="G23">
        <f t="shared" si="3"/>
        <v>15936</v>
      </c>
      <c r="H23">
        <f t="shared" si="3"/>
        <v>16064</v>
      </c>
      <c r="I23">
        <f t="shared" si="3"/>
        <v>16192</v>
      </c>
      <c r="J23">
        <f t="shared" si="3"/>
        <v>16320</v>
      </c>
      <c r="K23">
        <f t="shared" si="3"/>
        <v>16448</v>
      </c>
      <c r="L23">
        <f t="shared" si="3"/>
        <v>16576</v>
      </c>
      <c r="M23">
        <f t="shared" si="3"/>
        <v>16704</v>
      </c>
      <c r="N23">
        <f t="shared" si="3"/>
        <v>16832</v>
      </c>
      <c r="O23">
        <f t="shared" si="3"/>
        <v>16960</v>
      </c>
      <c r="P23">
        <f t="shared" si="3"/>
        <v>17088</v>
      </c>
      <c r="Q23">
        <f t="shared" si="3"/>
        <v>17216</v>
      </c>
      <c r="R23">
        <f t="shared" si="3"/>
        <v>17344</v>
      </c>
      <c r="S23">
        <f t="shared" si="3"/>
        <v>17472</v>
      </c>
      <c r="T23">
        <f t="shared" si="3"/>
        <v>17600</v>
      </c>
      <c r="U23">
        <f t="shared" si="3"/>
        <v>17728</v>
      </c>
      <c r="V23">
        <f t="shared" si="3"/>
        <v>17856</v>
      </c>
    </row>
    <row r="24" ht="12.75">
      <c r="A24" s="3" t="s">
        <v>1</v>
      </c>
    </row>
    <row r="25" spans="1:22" ht="12.75">
      <c r="A25" t="s">
        <v>17</v>
      </c>
      <c r="B25" s="2"/>
      <c r="C25" s="2">
        <f aca="true" t="shared" si="4" ref="C25:V25">C20*12*$B$9*(1+$B$10)^(C19)</f>
        <v>6580224</v>
      </c>
      <c r="D25" s="2">
        <f t="shared" si="4"/>
        <v>6767760.384</v>
      </c>
      <c r="E25" s="2">
        <f t="shared" si="4"/>
        <v>6960166.13376</v>
      </c>
      <c r="F25" s="2">
        <f t="shared" si="4"/>
        <v>7157561.0093568</v>
      </c>
      <c r="G25" s="2">
        <f t="shared" si="4"/>
        <v>7360067.6135239685</v>
      </c>
      <c r="H25" s="2">
        <f t="shared" si="4"/>
        <v>7567811.457454081</v>
      </c>
      <c r="I25" s="2">
        <f t="shared" si="4"/>
        <v>7780921.028095986</v>
      </c>
      <c r="J25" s="2">
        <f t="shared" si="4"/>
        <v>7999527.856980588</v>
      </c>
      <c r="K25" s="2">
        <f t="shared" si="4"/>
        <v>8223766.590609335</v>
      </c>
      <c r="L25" s="2">
        <f t="shared" si="4"/>
        <v>8453775.06244044</v>
      </c>
      <c r="M25" s="2">
        <f t="shared" si="4"/>
        <v>8689694.366508543</v>
      </c>
      <c r="N25" s="2">
        <f t="shared" si="4"/>
        <v>8931668.932714399</v>
      </c>
      <c r="O25" s="2">
        <f t="shared" si="4"/>
        <v>9179846.603821883</v>
      </c>
      <c r="P25" s="2">
        <f t="shared" si="4"/>
        <v>9434378.71420058</v>
      </c>
      <c r="Q25" s="2">
        <f t="shared" si="4"/>
        <v>9695420.170352895</v>
      </c>
      <c r="R25" s="2">
        <f t="shared" si="4"/>
        <v>9963129.533265626</v>
      </c>
      <c r="S25" s="2">
        <f t="shared" si="4"/>
        <v>10237669.102626724</v>
      </c>
      <c r="T25" s="2">
        <f t="shared" si="4"/>
        <v>10519205.002948958</v>
      </c>
      <c r="U25" s="2">
        <f t="shared" si="4"/>
        <v>10807907.271643031</v>
      </c>
      <c r="V25" s="2">
        <f t="shared" si="4"/>
        <v>11103949.94908369</v>
      </c>
    </row>
    <row r="26" spans="1:22" ht="12.75">
      <c r="A26" t="s">
        <v>18</v>
      </c>
      <c r="B26" s="2"/>
      <c r="C26" s="2">
        <f>(1/2)*C21*12*$B$9*(1+$B$10)^(C19)</f>
        <v>27417.59999999999</v>
      </c>
      <c r="D26" s="2">
        <f aca="true" t="shared" si="5" ref="D26:V26">(1/2)*D21*12*$B$9*(1+$B$10)^(D19)</f>
        <v>27965.951999999994</v>
      </c>
      <c r="E26" s="2">
        <f t="shared" si="5"/>
        <v>28525.27103999999</v>
      </c>
      <c r="F26" s="2">
        <f t="shared" si="5"/>
        <v>29095.776460799992</v>
      </c>
      <c r="G26" s="2">
        <f t="shared" si="5"/>
        <v>29677.691990015992</v>
      </c>
      <c r="H26" s="2">
        <f t="shared" si="5"/>
        <v>30271.245829816315</v>
      </c>
      <c r="I26" s="2">
        <f t="shared" si="5"/>
        <v>30876.670746412634</v>
      </c>
      <c r="J26" s="2">
        <f t="shared" si="5"/>
        <v>31494.204161340887</v>
      </c>
      <c r="K26" s="2">
        <f t="shared" si="5"/>
        <v>32124.088244567705</v>
      </c>
      <c r="L26" s="2">
        <f t="shared" si="5"/>
        <v>32766.57000945906</v>
      </c>
      <c r="M26" s="2">
        <f t="shared" si="5"/>
        <v>33421.901409648235</v>
      </c>
      <c r="N26" s="2">
        <f t="shared" si="5"/>
        <v>34090.339437841205</v>
      </c>
      <c r="O26" s="2">
        <f t="shared" si="5"/>
        <v>34772.14622659803</v>
      </c>
      <c r="P26" s="2">
        <f t="shared" si="5"/>
        <v>35467.58915112999</v>
      </c>
      <c r="Q26" s="2">
        <f t="shared" si="5"/>
        <v>36176.94093415258</v>
      </c>
      <c r="R26" s="2">
        <f t="shared" si="5"/>
        <v>36900.47975283564</v>
      </c>
      <c r="S26" s="2">
        <f t="shared" si="5"/>
        <v>37638.489347892355</v>
      </c>
      <c r="T26" s="2">
        <f t="shared" si="5"/>
        <v>38391.2591348502</v>
      </c>
      <c r="U26" s="2">
        <f t="shared" si="5"/>
        <v>39159.084317547204</v>
      </c>
      <c r="V26" s="2">
        <f t="shared" si="5"/>
        <v>39942.26600389815</v>
      </c>
    </row>
    <row r="27" spans="1:22" ht="12.75">
      <c r="A27" t="s">
        <v>19</v>
      </c>
      <c r="B27" s="2"/>
      <c r="C27" s="2">
        <f>0.1*(C25+C26)</f>
        <v>660764.16</v>
      </c>
      <c r="D27" s="2">
        <f aca="true" t="shared" si="6" ref="D27:V27">0.1*(D25+D26)</f>
        <v>679572.6336</v>
      </c>
      <c r="E27" s="2">
        <f t="shared" si="6"/>
        <v>698869.1404800001</v>
      </c>
      <c r="F27" s="2">
        <f t="shared" si="6"/>
        <v>718665.67858176</v>
      </c>
      <c r="G27" s="2">
        <f t="shared" si="6"/>
        <v>738974.5305513985</v>
      </c>
      <c r="H27" s="2">
        <f t="shared" si="6"/>
        <v>759808.2703283897</v>
      </c>
      <c r="I27" s="2">
        <f t="shared" si="6"/>
        <v>781179.7698842399</v>
      </c>
      <c r="J27" s="2">
        <f t="shared" si="6"/>
        <v>803102.206114193</v>
      </c>
      <c r="K27" s="2">
        <f t="shared" si="6"/>
        <v>825589.0678853904</v>
      </c>
      <c r="L27" s="2">
        <f t="shared" si="6"/>
        <v>848654.1632449899</v>
      </c>
      <c r="M27" s="2">
        <f t="shared" si="6"/>
        <v>872311.6267918192</v>
      </c>
      <c r="N27" s="2">
        <f t="shared" si="6"/>
        <v>896575.927215224</v>
      </c>
      <c r="O27" s="2">
        <f t="shared" si="6"/>
        <v>921461.8750048481</v>
      </c>
      <c r="P27" s="2">
        <f t="shared" si="6"/>
        <v>946984.630335171</v>
      </c>
      <c r="Q27" s="2">
        <f t="shared" si="6"/>
        <v>973159.7111287048</v>
      </c>
      <c r="R27" s="2">
        <f t="shared" si="6"/>
        <v>1000003.0013018461</v>
      </c>
      <c r="S27" s="2">
        <f t="shared" si="6"/>
        <v>1027530.7591974617</v>
      </c>
      <c r="T27" s="2">
        <f t="shared" si="6"/>
        <v>1055759.6262083808</v>
      </c>
      <c r="U27" s="2">
        <f t="shared" si="6"/>
        <v>1084706.6355960579</v>
      </c>
      <c r="V27" s="2">
        <f t="shared" si="6"/>
        <v>1114389.2215087588</v>
      </c>
    </row>
    <row r="28" spans="1:22" s="8" customFormat="1" ht="12.75">
      <c r="A28" s="8" t="s">
        <v>20</v>
      </c>
      <c r="B28" s="9"/>
      <c r="C28" s="9">
        <f>SUM(C25:C27)</f>
        <v>7268405.76</v>
      </c>
      <c r="D28" s="9">
        <f aca="true" t="shared" si="7" ref="D28:V28">SUM(D25:D27)</f>
        <v>7475298.9695999995</v>
      </c>
      <c r="E28" s="9">
        <f t="shared" si="7"/>
        <v>7687560.54528</v>
      </c>
      <c r="F28" s="9">
        <f t="shared" si="7"/>
        <v>7905322.46439936</v>
      </c>
      <c r="G28" s="9">
        <f t="shared" si="7"/>
        <v>8128719.836065383</v>
      </c>
      <c r="H28" s="9">
        <f t="shared" si="7"/>
        <v>8357890.973612286</v>
      </c>
      <c r="I28" s="9">
        <f t="shared" si="7"/>
        <v>8592977.468726639</v>
      </c>
      <c r="J28" s="9">
        <f t="shared" si="7"/>
        <v>8834124.267256122</v>
      </c>
      <c r="K28" s="9">
        <f t="shared" si="7"/>
        <v>9081479.746739293</v>
      </c>
      <c r="L28" s="9">
        <f t="shared" si="7"/>
        <v>9335195.79569489</v>
      </c>
      <c r="M28" s="9">
        <f t="shared" si="7"/>
        <v>9595427.894710012</v>
      </c>
      <c r="N28" s="9">
        <f t="shared" si="7"/>
        <v>9862335.199367464</v>
      </c>
      <c r="O28" s="9">
        <f t="shared" si="7"/>
        <v>10136080.62505333</v>
      </c>
      <c r="P28" s="9">
        <f t="shared" si="7"/>
        <v>10416830.93368688</v>
      </c>
      <c r="Q28" s="9">
        <f t="shared" si="7"/>
        <v>10704756.822415752</v>
      </c>
      <c r="R28" s="9">
        <f t="shared" si="7"/>
        <v>11000033.014320306</v>
      </c>
      <c r="S28" s="9">
        <f t="shared" si="7"/>
        <v>11302838.351172078</v>
      </c>
      <c r="T28" s="9">
        <f t="shared" si="7"/>
        <v>11613355.88829219</v>
      </c>
      <c r="U28" s="9">
        <f t="shared" si="7"/>
        <v>11931772.991556635</v>
      </c>
      <c r="V28" s="9">
        <f t="shared" si="7"/>
        <v>12258281.436596345</v>
      </c>
    </row>
    <row r="29" ht="12.75">
      <c r="A29" s="3" t="s">
        <v>5</v>
      </c>
    </row>
    <row r="30" spans="1:22" ht="12.75">
      <c r="A30" s="4" t="s">
        <v>6</v>
      </c>
      <c r="B30" s="2"/>
      <c r="C30" s="2">
        <f>$B$12*C20+$B$13*C21*(1/2)</f>
        <v>3618496</v>
      </c>
      <c r="D30" s="2">
        <f aca="true" t="shared" si="8" ref="D30:V30">$B$12*D20+$B$13*D21*(1/2)</f>
        <v>3648576</v>
      </c>
      <c r="E30" s="2">
        <f t="shared" si="8"/>
        <v>3678656</v>
      </c>
      <c r="F30" s="2">
        <f t="shared" si="8"/>
        <v>3708736</v>
      </c>
      <c r="G30" s="2">
        <f t="shared" si="8"/>
        <v>3738816</v>
      </c>
      <c r="H30" s="2">
        <f t="shared" si="8"/>
        <v>3768896</v>
      </c>
      <c r="I30" s="2">
        <f t="shared" si="8"/>
        <v>3798976</v>
      </c>
      <c r="J30" s="2">
        <f t="shared" si="8"/>
        <v>3829056</v>
      </c>
      <c r="K30" s="2">
        <f t="shared" si="8"/>
        <v>3859136</v>
      </c>
      <c r="L30" s="2">
        <f t="shared" si="8"/>
        <v>3889216</v>
      </c>
      <c r="M30" s="2">
        <f t="shared" si="8"/>
        <v>3919296</v>
      </c>
      <c r="N30" s="2">
        <f t="shared" si="8"/>
        <v>3949376</v>
      </c>
      <c r="O30" s="2">
        <f t="shared" si="8"/>
        <v>3979456</v>
      </c>
      <c r="P30" s="2">
        <f t="shared" si="8"/>
        <v>4009536</v>
      </c>
      <c r="Q30" s="2">
        <f t="shared" si="8"/>
        <v>4039616</v>
      </c>
      <c r="R30" s="2">
        <f t="shared" si="8"/>
        <v>4069696</v>
      </c>
      <c r="S30" s="2">
        <f t="shared" si="8"/>
        <v>4099776</v>
      </c>
      <c r="T30" s="2">
        <f t="shared" si="8"/>
        <v>4129856</v>
      </c>
      <c r="U30" s="2">
        <f t="shared" si="8"/>
        <v>4159936</v>
      </c>
      <c r="V30" s="2">
        <f t="shared" si="8"/>
        <v>4190016</v>
      </c>
    </row>
    <row r="31" spans="1:22" ht="12.75" customHeight="1">
      <c r="A31" t="s">
        <v>9</v>
      </c>
      <c r="B31" s="2"/>
      <c r="C31" s="2">
        <f ca="1">SUM(C32:OFFSET(C32,0,0,1,1))</f>
        <v>500809.6</v>
      </c>
      <c r="D31" s="2">
        <f ca="1">SUM(D32:OFFSET(D32,C19,0,1,1))</f>
        <v>507248</v>
      </c>
      <c r="E31" s="2">
        <f ca="1">SUM(E32:OFFSET(E32,D19,0,1,1))</f>
        <v>513686.4</v>
      </c>
      <c r="F31" s="2">
        <f ca="1">SUM(F32:OFFSET(F32,E19,0,1,1))</f>
        <v>520124.80000000005</v>
      </c>
      <c r="G31" s="2">
        <f ca="1">SUM(G32:OFFSET(G32,F19,0,1,1))</f>
        <v>526563.2000000001</v>
      </c>
      <c r="H31" s="2">
        <f ca="1">SUM(H32:OFFSET(H32,G19,0,1,1))</f>
        <v>533001.6000000001</v>
      </c>
      <c r="I31" s="2">
        <f ca="1">SUM(I32:OFFSET(I32,H19,0,1,1))</f>
        <v>533001.6000000001</v>
      </c>
      <c r="J31" s="2">
        <f ca="1">SUM(J32:OFFSET(J32,I19,0,1,1))</f>
        <v>533001.6000000001</v>
      </c>
      <c r="K31" s="2">
        <f ca="1">SUM(K32:OFFSET(K32,J19,0,1,1))</f>
        <v>533001.6000000001</v>
      </c>
      <c r="L31" s="2">
        <f ca="1">SUM(L32:OFFSET(L32,K19,0,1,1))</f>
        <v>533001.6000000001</v>
      </c>
      <c r="M31" s="2">
        <f ca="1">SUM(M32:OFFSET(M32,L19,0,1,1))</f>
        <v>533001.6000000001</v>
      </c>
      <c r="N31" s="2">
        <f ca="1">SUM(N32:OFFSET(N32,M19,0,1,1))</f>
        <v>533001.6000000001</v>
      </c>
      <c r="O31" s="2">
        <f ca="1">SUM(O32:OFFSET(O32,N19,0,1,1))</f>
        <v>533001.6000000001</v>
      </c>
      <c r="P31" s="2">
        <f ca="1">SUM(P32:OFFSET(P32,O19,0,1,1))</f>
        <v>533001.6000000001</v>
      </c>
      <c r="Q31" s="2">
        <f ca="1">SUM(Q32:OFFSET(Q32,P19,0,1,1))</f>
        <v>533001.6000000001</v>
      </c>
      <c r="R31" s="2">
        <f ca="1">SUM(R32:OFFSET(R32,Q19,0,1,1))</f>
        <v>533001.6000000001</v>
      </c>
      <c r="S31" s="2">
        <f ca="1">SUM(S32:OFFSET(S32,R19,0,1,1))</f>
        <v>533001.6000000001</v>
      </c>
      <c r="T31" s="2">
        <f ca="1">SUM(T32:OFFSET(T32,S19,0,1,1))</f>
        <v>533001.6000000001</v>
      </c>
      <c r="U31" s="2">
        <f ca="1">SUM(U32:OFFSET(U32,T19,0,1,1))</f>
        <v>533001.6000000001</v>
      </c>
      <c r="V31" s="2">
        <f ca="1">SUM(V32:OFFSET(V32,U19,0,1,1))</f>
        <v>533001.6000000001</v>
      </c>
    </row>
    <row r="32" spans="3:22" ht="1.5" customHeight="1" hidden="1">
      <c r="C32" s="5">
        <f aca="true" t="shared" si="9" ref="C32:V32">SLN($C$58+$B$58,0,20)</f>
        <v>500809.6</v>
      </c>
      <c r="D32" s="5">
        <f t="shared" si="9"/>
        <v>500809.6</v>
      </c>
      <c r="E32" s="5">
        <f t="shared" si="9"/>
        <v>500809.6</v>
      </c>
      <c r="F32" s="5">
        <f t="shared" si="9"/>
        <v>500809.6</v>
      </c>
      <c r="G32" s="5">
        <f t="shared" si="9"/>
        <v>500809.6</v>
      </c>
      <c r="H32" s="5">
        <f t="shared" si="9"/>
        <v>500809.6</v>
      </c>
      <c r="I32" s="5">
        <f t="shared" si="9"/>
        <v>500809.6</v>
      </c>
      <c r="J32" s="5">
        <f t="shared" si="9"/>
        <v>500809.6</v>
      </c>
      <c r="K32" s="5">
        <f t="shared" si="9"/>
        <v>500809.6</v>
      </c>
      <c r="L32" s="5">
        <f t="shared" si="9"/>
        <v>500809.6</v>
      </c>
      <c r="M32" s="5">
        <f t="shared" si="9"/>
        <v>500809.6</v>
      </c>
      <c r="N32" s="5">
        <f t="shared" si="9"/>
        <v>500809.6</v>
      </c>
      <c r="O32" s="5">
        <f t="shared" si="9"/>
        <v>500809.6</v>
      </c>
      <c r="P32" s="5">
        <f t="shared" si="9"/>
        <v>500809.6</v>
      </c>
      <c r="Q32" s="5">
        <f t="shared" si="9"/>
        <v>500809.6</v>
      </c>
      <c r="R32" s="5">
        <f t="shared" si="9"/>
        <v>500809.6</v>
      </c>
      <c r="S32" s="5">
        <f t="shared" si="9"/>
        <v>500809.6</v>
      </c>
      <c r="T32" s="5">
        <f t="shared" si="9"/>
        <v>500809.6</v>
      </c>
      <c r="U32" s="5">
        <f t="shared" si="9"/>
        <v>500809.6</v>
      </c>
      <c r="V32" s="5">
        <f t="shared" si="9"/>
        <v>500809.6</v>
      </c>
    </row>
    <row r="33" spans="3:22" ht="1.5" customHeight="1" hidden="1">
      <c r="C33" s="5"/>
      <c r="D33" s="5">
        <f>SLN($D$58,0,5)</f>
        <v>6438.399999999999</v>
      </c>
      <c r="E33" s="5">
        <f>SLN($D$58,0,5)</f>
        <v>6438.399999999999</v>
      </c>
      <c r="F33" s="5">
        <f>SLN($D$58,0,5)</f>
        <v>6438.399999999999</v>
      </c>
      <c r="G33" s="5">
        <f>SLN($D$58,0,5)</f>
        <v>6438.399999999999</v>
      </c>
      <c r="H33" s="5">
        <f>SLN(H$58,0,5)</f>
        <v>6438.399999999999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3:22" ht="1.5" customHeight="1" hidden="1">
      <c r="C34" s="5"/>
      <c r="D34" s="5"/>
      <c r="E34" s="5">
        <f>SLN($E$58,0,5)</f>
        <v>6438.399999999999</v>
      </c>
      <c r="F34" s="5">
        <f>SLN($E$58,0,5)</f>
        <v>6438.399999999999</v>
      </c>
      <c r="G34" s="5">
        <f>SLN($E$58,0,5)</f>
        <v>6438.399999999999</v>
      </c>
      <c r="H34" s="5">
        <f>SLN($E$58,0,5)</f>
        <v>6438.399999999999</v>
      </c>
      <c r="I34" s="5">
        <f>SLN($E$58,0,5)</f>
        <v>6438.399999999999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3:22" ht="1.5" customHeight="1" hidden="1">
      <c r="C35" s="5"/>
      <c r="D35" s="5"/>
      <c r="E35" s="5"/>
      <c r="F35" s="5">
        <f>SLN($F$58,0,5)</f>
        <v>6438.399999999999</v>
      </c>
      <c r="G35" s="5">
        <f>SLN($F$58,0,5)</f>
        <v>6438.399999999999</v>
      </c>
      <c r="H35" s="5">
        <f>SLN($F$58,0,5)</f>
        <v>6438.399999999999</v>
      </c>
      <c r="I35" s="5">
        <f>SLN($F$58,0,5)</f>
        <v>6438.399999999999</v>
      </c>
      <c r="J35" s="5">
        <f>SLN($F$58,0,5)</f>
        <v>6438.399999999999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3:22" ht="1.5" customHeight="1" hidden="1">
      <c r="C36" s="5"/>
      <c r="D36" s="5"/>
      <c r="E36" s="5"/>
      <c r="F36" s="5"/>
      <c r="G36" s="5">
        <f>SLN($G$58,0,5)</f>
        <v>6438.399999999999</v>
      </c>
      <c r="H36" s="5">
        <f>SLN($G$58,0,5)</f>
        <v>6438.399999999999</v>
      </c>
      <c r="I36" s="5">
        <f>SLN($G$58,0,5)</f>
        <v>6438.399999999999</v>
      </c>
      <c r="J36" s="5">
        <f>SLN($G$58,0,5)</f>
        <v>6438.399999999999</v>
      </c>
      <c r="K36" s="5">
        <f>SLN($G$58,0,5)</f>
        <v>6438.399999999999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3:22" ht="1.5" customHeight="1" hidden="1">
      <c r="C37" s="5"/>
      <c r="D37" s="5"/>
      <c r="E37" s="5"/>
      <c r="F37" s="5"/>
      <c r="G37" s="5"/>
      <c r="H37" s="5">
        <f>SLN($H$58,0,5)</f>
        <v>6438.399999999999</v>
      </c>
      <c r="I37" s="5">
        <f>SLN($H$58,0,5)</f>
        <v>6438.399999999999</v>
      </c>
      <c r="J37" s="5">
        <f>SLN($H$58,0,5)</f>
        <v>6438.399999999999</v>
      </c>
      <c r="K37" s="5">
        <f>SLN($H$58,0,5)</f>
        <v>6438.399999999999</v>
      </c>
      <c r="L37" s="5">
        <f>SLN($H$58,0,5)</f>
        <v>6438.399999999999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3:22" ht="1.5" customHeight="1" hidden="1">
      <c r="C38" s="5"/>
      <c r="D38" s="5"/>
      <c r="E38" s="5"/>
      <c r="F38" s="5"/>
      <c r="G38" s="5"/>
      <c r="H38" s="5"/>
      <c r="I38" s="5">
        <f>SLN($I$58,0,5)</f>
        <v>6438.399999999999</v>
      </c>
      <c r="J38" s="5">
        <f>SLN($I$58,0,5)</f>
        <v>6438.399999999999</v>
      </c>
      <c r="K38" s="5">
        <f>SLN($I$58,0,5)</f>
        <v>6438.399999999999</v>
      </c>
      <c r="L38" s="5">
        <f>SLN($I$58,0,5)</f>
        <v>6438.399999999999</v>
      </c>
      <c r="M38" s="5">
        <f>SLN($I$58,0,5)</f>
        <v>6438.399999999999</v>
      </c>
      <c r="N38" s="5"/>
      <c r="O38" s="5"/>
      <c r="P38" s="5"/>
      <c r="Q38" s="5"/>
      <c r="R38" s="5"/>
      <c r="S38" s="5"/>
      <c r="T38" s="5"/>
      <c r="U38" s="5"/>
      <c r="V38" s="5"/>
    </row>
    <row r="39" spans="3:22" ht="1.5" customHeight="1" hidden="1">
      <c r="C39" s="5"/>
      <c r="D39" s="5"/>
      <c r="E39" s="5"/>
      <c r="F39" s="5"/>
      <c r="G39" s="5"/>
      <c r="H39" s="5"/>
      <c r="I39" s="5"/>
      <c r="J39" s="5">
        <f>SLN($J$58,0,5)</f>
        <v>6438.399999999999</v>
      </c>
      <c r="K39" s="5">
        <f>SLN($J$58,0,5)</f>
        <v>6438.399999999999</v>
      </c>
      <c r="L39" s="5">
        <f>SLN($J$58,0,5)</f>
        <v>6438.399999999999</v>
      </c>
      <c r="M39" s="5">
        <f>SLN($J$58,0,5)</f>
        <v>6438.399999999999</v>
      </c>
      <c r="N39" s="5">
        <f>SLN($J$58,0,5)</f>
        <v>6438.399999999999</v>
      </c>
      <c r="O39" s="5"/>
      <c r="P39" s="5"/>
      <c r="Q39" s="5"/>
      <c r="R39" s="5"/>
      <c r="S39" s="5"/>
      <c r="T39" s="5"/>
      <c r="U39" s="5"/>
      <c r="V39" s="5"/>
    </row>
    <row r="40" spans="3:22" ht="1.5" customHeight="1" hidden="1">
      <c r="C40" s="5"/>
      <c r="D40" s="5"/>
      <c r="E40" s="5"/>
      <c r="F40" s="5"/>
      <c r="G40" s="5"/>
      <c r="H40" s="5"/>
      <c r="I40" s="5"/>
      <c r="J40" s="5"/>
      <c r="K40" s="5">
        <f>SLN($K$58,0,5)</f>
        <v>6438.399999999999</v>
      </c>
      <c r="L40" s="5">
        <f>SLN($K$58,0,5)</f>
        <v>6438.399999999999</v>
      </c>
      <c r="M40" s="5">
        <f>SLN($K$58,0,5)</f>
        <v>6438.399999999999</v>
      </c>
      <c r="N40" s="5">
        <f>SLN($K$58,0,5)</f>
        <v>6438.399999999999</v>
      </c>
      <c r="O40" s="5">
        <f>SLN($K$58,0,5)</f>
        <v>6438.399999999999</v>
      </c>
      <c r="P40" s="5"/>
      <c r="Q40" s="5"/>
      <c r="R40" s="5"/>
      <c r="S40" s="5"/>
      <c r="T40" s="5"/>
      <c r="U40" s="5"/>
      <c r="V40" s="5"/>
    </row>
    <row r="41" spans="3:22" ht="1.5" customHeight="1" hidden="1">
      <c r="C41" s="5"/>
      <c r="D41" s="5"/>
      <c r="E41" s="5"/>
      <c r="F41" s="5"/>
      <c r="G41" s="5"/>
      <c r="H41" s="5"/>
      <c r="I41" s="5"/>
      <c r="J41" s="5"/>
      <c r="K41" s="5"/>
      <c r="L41" s="5">
        <f>SLN($L$58,0,5)</f>
        <v>6438.399999999999</v>
      </c>
      <c r="M41" s="5">
        <f>SLN($L$58,0,5)</f>
        <v>6438.399999999999</v>
      </c>
      <c r="N41" s="5">
        <f>SLN($L$58,0,5)</f>
        <v>6438.399999999999</v>
      </c>
      <c r="O41" s="5">
        <f>SLN($L$58,0,5)</f>
        <v>6438.399999999999</v>
      </c>
      <c r="P41" s="5">
        <f>SLN($L$58,0,5)</f>
        <v>6438.399999999999</v>
      </c>
      <c r="Q41" s="5"/>
      <c r="R41" s="5"/>
      <c r="S41" s="5"/>
      <c r="T41" s="5"/>
      <c r="U41" s="5"/>
      <c r="V41" s="5"/>
    </row>
    <row r="42" spans="3:22" ht="1.5" customHeight="1" hidden="1"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f>SLN($M$58,0,5)</f>
        <v>6438.399999999999</v>
      </c>
      <c r="N42" s="5">
        <f>SLN($M$58,0,5)</f>
        <v>6438.399999999999</v>
      </c>
      <c r="O42" s="5">
        <f>SLN($M$58,0,5)</f>
        <v>6438.399999999999</v>
      </c>
      <c r="P42" s="5">
        <f>SLN($M$58,0,5)</f>
        <v>6438.399999999999</v>
      </c>
      <c r="Q42" s="5">
        <f>SLN($M$58,0,5)</f>
        <v>6438.399999999999</v>
      </c>
      <c r="R42" s="5"/>
      <c r="S42" s="5"/>
      <c r="T42" s="5"/>
      <c r="U42" s="5"/>
      <c r="V42" s="5"/>
    </row>
    <row r="43" spans="3:22" ht="1.5" customHeight="1" hidden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>SLN($N$58,0,5)</f>
        <v>6438.399999999999</v>
      </c>
      <c r="O43" s="5">
        <f>SLN($N$58,0,5)</f>
        <v>6438.399999999999</v>
      </c>
      <c r="P43" s="5">
        <f>SLN($N$58,0,5)</f>
        <v>6438.399999999999</v>
      </c>
      <c r="Q43" s="5">
        <f>SLN($N$58,0,5)</f>
        <v>6438.399999999999</v>
      </c>
      <c r="R43" s="5">
        <f>SLN($N$58,0,5)</f>
        <v>6438.399999999999</v>
      </c>
      <c r="S43" s="5"/>
      <c r="T43" s="5"/>
      <c r="U43" s="5"/>
      <c r="V43" s="5"/>
    </row>
    <row r="44" spans="3:22" ht="1.5" customHeight="1" hidden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>SLN($O$58,0,5)</f>
        <v>6438.399999999999</v>
      </c>
      <c r="P44" s="5">
        <f>SLN($O$58,0,5)</f>
        <v>6438.399999999999</v>
      </c>
      <c r="Q44" s="5">
        <f>SLN($O$58,0,5)</f>
        <v>6438.399999999999</v>
      </c>
      <c r="R44" s="5">
        <f>SLN($O$58,0,5)</f>
        <v>6438.399999999999</v>
      </c>
      <c r="S44" s="5">
        <f>SLN($O$58,0,5)</f>
        <v>6438.399999999999</v>
      </c>
      <c r="T44" s="5"/>
      <c r="U44" s="5"/>
      <c r="V44" s="5"/>
    </row>
    <row r="45" spans="3:22" ht="1.5" customHeight="1" hidden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f>SLN($P$58,0,5)</f>
        <v>6438.399999999999</v>
      </c>
      <c r="Q45" s="5">
        <f>SLN($P$58,0,5)</f>
        <v>6438.399999999999</v>
      </c>
      <c r="R45" s="5">
        <f>SLN($P$58,0,5)</f>
        <v>6438.399999999999</v>
      </c>
      <c r="S45" s="5">
        <f>SLN($P$58,0,5)</f>
        <v>6438.399999999999</v>
      </c>
      <c r="T45" s="5">
        <f>SLN($P$58,0,5)</f>
        <v>6438.399999999999</v>
      </c>
      <c r="U45" s="5"/>
      <c r="V45" s="5"/>
    </row>
    <row r="46" spans="3:22" ht="1.5" customHeight="1" hidden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f>SLN($Q$58,0,5)</f>
        <v>6438.399999999999</v>
      </c>
      <c r="R46" s="5">
        <f>SLN($Q$58,0,5)</f>
        <v>6438.399999999999</v>
      </c>
      <c r="S46" s="5">
        <f>SLN($Q$58,0,5)</f>
        <v>6438.399999999999</v>
      </c>
      <c r="T46" s="5">
        <f>SLN($Q$58,0,5)</f>
        <v>6438.399999999999</v>
      </c>
      <c r="U46" s="5">
        <f>SLN($Q$58,0,5)</f>
        <v>6438.399999999999</v>
      </c>
      <c r="V46" s="5"/>
    </row>
    <row r="47" spans="3:22" ht="1.5" customHeight="1" hidden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f>SLN($R$58,0,5)</f>
        <v>6438.399999999999</v>
      </c>
      <c r="S47" s="5">
        <f>SLN($R$58,0,5)</f>
        <v>6438.399999999999</v>
      </c>
      <c r="T47" s="5">
        <f>SLN($R$58,0,5)</f>
        <v>6438.399999999999</v>
      </c>
      <c r="U47" s="5">
        <f>SLN($R$58,0,5)</f>
        <v>6438.399999999999</v>
      </c>
      <c r="V47" s="5">
        <f>SLN($R$58,0,5)</f>
        <v>6438.399999999999</v>
      </c>
    </row>
    <row r="48" spans="3:22" ht="1.5" customHeight="1" hidden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>SLN($S$58,0,5)</f>
        <v>6438.399999999999</v>
      </c>
      <c r="T48" s="5">
        <f>SLN($S$58,0,5)</f>
        <v>6438.399999999999</v>
      </c>
      <c r="U48" s="5">
        <f>SLN($S$58,0,5)</f>
        <v>6438.399999999999</v>
      </c>
      <c r="V48" s="5">
        <f>SLN($S$58,0,5)</f>
        <v>6438.399999999999</v>
      </c>
    </row>
    <row r="49" spans="3:22" ht="1.5" customHeight="1" hidden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>
        <f>SLN($T$58,0,5)</f>
        <v>6438.399999999999</v>
      </c>
      <c r="U49" s="5">
        <f>SLN($T$58,0,5)</f>
        <v>6438.399999999999</v>
      </c>
      <c r="V49" s="5">
        <f>SLN($T$58,0,5)</f>
        <v>6438.399999999999</v>
      </c>
    </row>
    <row r="50" spans="3:22" ht="1.5" customHeight="1" hidden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f>SLN($U$58,0,5)</f>
        <v>6438.399999999999</v>
      </c>
      <c r="V50" s="5">
        <f>SLN($U$58,0,5)</f>
        <v>6438.399999999999</v>
      </c>
    </row>
    <row r="51" spans="3:22" ht="1.5" customHeight="1" hidden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>
        <f>SLN($V$58,0,5)</f>
        <v>6438.399999999999</v>
      </c>
    </row>
    <row r="52" spans="3:22" ht="0.75" customHeight="1" hidden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8" customFormat="1" ht="12.75" customHeight="1">
      <c r="A53" s="13" t="s">
        <v>10</v>
      </c>
      <c r="B53" s="12"/>
      <c r="C53" s="12">
        <f>C28-C30-C31</f>
        <v>3149100.1599999997</v>
      </c>
      <c r="D53" s="12">
        <f aca="true" t="shared" si="10" ref="D53:V53">D28-D30-D31</f>
        <v>3319474.9695999995</v>
      </c>
      <c r="E53" s="12">
        <f t="shared" si="10"/>
        <v>3495218.1452800003</v>
      </c>
      <c r="F53" s="12">
        <f t="shared" si="10"/>
        <v>3676461.6643993603</v>
      </c>
      <c r="G53" s="12">
        <f t="shared" si="10"/>
        <v>3863340.6360653825</v>
      </c>
      <c r="H53" s="12">
        <f t="shared" si="10"/>
        <v>4055993.373612286</v>
      </c>
      <c r="I53" s="12">
        <f t="shared" si="10"/>
        <v>4260999.868726639</v>
      </c>
      <c r="J53" s="12">
        <f t="shared" si="10"/>
        <v>4472066.667256122</v>
      </c>
      <c r="K53" s="12">
        <f t="shared" si="10"/>
        <v>4689342.146739293</v>
      </c>
      <c r="L53" s="12">
        <f t="shared" si="10"/>
        <v>4912978.19569489</v>
      </c>
      <c r="M53" s="12">
        <f t="shared" si="10"/>
        <v>5143130.294710012</v>
      </c>
      <c r="N53" s="12">
        <f t="shared" si="10"/>
        <v>5379957.599367464</v>
      </c>
      <c r="O53" s="12">
        <f t="shared" si="10"/>
        <v>5623623.02505333</v>
      </c>
      <c r="P53" s="12">
        <f t="shared" si="10"/>
        <v>5874293.333686881</v>
      </c>
      <c r="Q53" s="12">
        <f t="shared" si="10"/>
        <v>6132139.222415753</v>
      </c>
      <c r="R53" s="12">
        <f t="shared" si="10"/>
        <v>6397335.414320307</v>
      </c>
      <c r="S53" s="12">
        <f t="shared" si="10"/>
        <v>6670060.751172079</v>
      </c>
      <c r="T53" s="12">
        <f t="shared" si="10"/>
        <v>6950498.28829219</v>
      </c>
      <c r="U53" s="12">
        <f t="shared" si="10"/>
        <v>7238835.3915566355</v>
      </c>
      <c r="V53" s="12">
        <f t="shared" si="10"/>
        <v>7535263.8365963455</v>
      </c>
    </row>
    <row r="54" spans="1:22" ht="12.75">
      <c r="A54" s="4" t="s">
        <v>11</v>
      </c>
      <c r="B54" s="5"/>
      <c r="C54" s="5">
        <f>$B$11*C53</f>
        <v>1007712.0511999999</v>
      </c>
      <c r="D54" s="5">
        <f aca="true" t="shared" si="11" ref="D54:V54">$B$11*D53</f>
        <v>1062231.990272</v>
      </c>
      <c r="E54" s="5">
        <f t="shared" si="11"/>
        <v>1118469.8064896</v>
      </c>
      <c r="F54" s="5">
        <f t="shared" si="11"/>
        <v>1176467.7326077954</v>
      </c>
      <c r="G54" s="5">
        <f t="shared" si="11"/>
        <v>1236269.0035409224</v>
      </c>
      <c r="H54" s="5">
        <f t="shared" si="11"/>
        <v>1297917.8795559315</v>
      </c>
      <c r="I54" s="5">
        <f t="shared" si="11"/>
        <v>1363519.9579925246</v>
      </c>
      <c r="J54" s="5">
        <f t="shared" si="11"/>
        <v>1431061.3335219591</v>
      </c>
      <c r="K54" s="5">
        <f t="shared" si="11"/>
        <v>1500589.4869565738</v>
      </c>
      <c r="L54" s="5">
        <f t="shared" si="11"/>
        <v>1572153.0226223648</v>
      </c>
      <c r="M54" s="5">
        <f t="shared" si="11"/>
        <v>1645801.6943072039</v>
      </c>
      <c r="N54" s="5">
        <f t="shared" si="11"/>
        <v>1721586.4317975885</v>
      </c>
      <c r="O54" s="5">
        <f t="shared" si="11"/>
        <v>1799559.3680170656</v>
      </c>
      <c r="P54" s="5">
        <f t="shared" si="11"/>
        <v>1879773.866779802</v>
      </c>
      <c r="Q54" s="5">
        <f t="shared" si="11"/>
        <v>1962284.5511730409</v>
      </c>
      <c r="R54" s="5">
        <f t="shared" si="11"/>
        <v>2047147.3325824982</v>
      </c>
      <c r="S54" s="5">
        <f t="shared" si="11"/>
        <v>2134419.4403750654</v>
      </c>
      <c r="T54" s="5">
        <f t="shared" si="11"/>
        <v>2224159.452253501</v>
      </c>
      <c r="U54" s="5">
        <f t="shared" si="11"/>
        <v>2316427.3252981235</v>
      </c>
      <c r="V54" s="5">
        <f t="shared" si="11"/>
        <v>2411284.4277108307</v>
      </c>
    </row>
    <row r="55" spans="1:22" s="8" customFormat="1" ht="12.75">
      <c r="A55" s="13" t="s">
        <v>14</v>
      </c>
      <c r="B55" s="12"/>
      <c r="C55" s="12">
        <f>C53-C54</f>
        <v>2141388.1087999996</v>
      </c>
      <c r="D55" s="12">
        <f aca="true" t="shared" si="12" ref="D55:V55">D53-D54</f>
        <v>2257242.9793279995</v>
      </c>
      <c r="E55" s="12">
        <f t="shared" si="12"/>
        <v>2376748.3387904</v>
      </c>
      <c r="F55" s="12">
        <f t="shared" si="12"/>
        <v>2499993.931791565</v>
      </c>
      <c r="G55" s="12">
        <f t="shared" si="12"/>
        <v>2627071.63252446</v>
      </c>
      <c r="H55" s="12">
        <f t="shared" si="12"/>
        <v>2758075.4940563543</v>
      </c>
      <c r="I55" s="12">
        <f t="shared" si="12"/>
        <v>2897479.9107341142</v>
      </c>
      <c r="J55" s="12">
        <f t="shared" si="12"/>
        <v>3041005.333734163</v>
      </c>
      <c r="K55" s="12">
        <f t="shared" si="12"/>
        <v>3188752.659782719</v>
      </c>
      <c r="L55" s="12">
        <f t="shared" si="12"/>
        <v>3340825.1730725253</v>
      </c>
      <c r="M55" s="12">
        <f t="shared" si="12"/>
        <v>3497328.6004028083</v>
      </c>
      <c r="N55" s="12">
        <f t="shared" si="12"/>
        <v>3658371.1675698757</v>
      </c>
      <c r="O55" s="12">
        <f t="shared" si="12"/>
        <v>3824063.6570362644</v>
      </c>
      <c r="P55" s="12">
        <f t="shared" si="12"/>
        <v>3994519.466907079</v>
      </c>
      <c r="Q55" s="12">
        <f t="shared" si="12"/>
        <v>4169854.671242712</v>
      </c>
      <c r="R55" s="12">
        <f t="shared" si="12"/>
        <v>4350188.081737809</v>
      </c>
      <c r="S55" s="12">
        <f t="shared" si="12"/>
        <v>4535641.310797013</v>
      </c>
      <c r="T55" s="12">
        <f t="shared" si="12"/>
        <v>4726338.836038689</v>
      </c>
      <c r="U55" s="12">
        <f t="shared" si="12"/>
        <v>4922408.066258512</v>
      </c>
      <c r="V55" s="12">
        <f t="shared" si="12"/>
        <v>5123979.408885514</v>
      </c>
    </row>
    <row r="56" spans="1:22" s="6" customFormat="1" ht="12.75">
      <c r="A56" t="s">
        <v>9</v>
      </c>
      <c r="B56" s="14"/>
      <c r="C56" s="14">
        <f>C31</f>
        <v>500809.6</v>
      </c>
      <c r="D56" s="14">
        <f aca="true" t="shared" si="13" ref="D56:V56">D31</f>
        <v>507248</v>
      </c>
      <c r="E56" s="14">
        <f t="shared" si="13"/>
        <v>513686.4</v>
      </c>
      <c r="F56" s="14">
        <f t="shared" si="13"/>
        <v>520124.80000000005</v>
      </c>
      <c r="G56" s="14">
        <f t="shared" si="13"/>
        <v>526563.2000000001</v>
      </c>
      <c r="H56" s="14">
        <f t="shared" si="13"/>
        <v>533001.6000000001</v>
      </c>
      <c r="I56" s="14">
        <f t="shared" si="13"/>
        <v>533001.6000000001</v>
      </c>
      <c r="J56" s="14">
        <f t="shared" si="13"/>
        <v>533001.6000000001</v>
      </c>
      <c r="K56" s="14">
        <f t="shared" si="13"/>
        <v>533001.6000000001</v>
      </c>
      <c r="L56" s="14">
        <f t="shared" si="13"/>
        <v>533001.6000000001</v>
      </c>
      <c r="M56" s="14">
        <f t="shared" si="13"/>
        <v>533001.6000000001</v>
      </c>
      <c r="N56" s="14">
        <f t="shared" si="13"/>
        <v>533001.6000000001</v>
      </c>
      <c r="O56" s="14">
        <f t="shared" si="13"/>
        <v>533001.6000000001</v>
      </c>
      <c r="P56" s="14">
        <f t="shared" si="13"/>
        <v>533001.6000000001</v>
      </c>
      <c r="Q56" s="14">
        <f t="shared" si="13"/>
        <v>533001.6000000001</v>
      </c>
      <c r="R56" s="14">
        <f t="shared" si="13"/>
        <v>533001.6000000001</v>
      </c>
      <c r="S56" s="14">
        <f t="shared" si="13"/>
        <v>533001.6000000001</v>
      </c>
      <c r="T56" s="14">
        <f t="shared" si="13"/>
        <v>533001.6000000001</v>
      </c>
      <c r="U56" s="14">
        <f t="shared" si="13"/>
        <v>533001.6000000001</v>
      </c>
      <c r="V56" s="14">
        <f t="shared" si="13"/>
        <v>533001.6000000001</v>
      </c>
    </row>
    <row r="57" spans="1:22" s="8" customFormat="1" ht="12.75">
      <c r="A57" s="13" t="s">
        <v>15</v>
      </c>
      <c r="B57" s="12"/>
      <c r="C57" s="12">
        <f>C56+C55</f>
        <v>2642197.7087999997</v>
      </c>
      <c r="D57" s="12">
        <f aca="true" t="shared" si="14" ref="D57:V57">D56+D55</f>
        <v>2764490.9793279995</v>
      </c>
      <c r="E57" s="12">
        <f t="shared" si="14"/>
        <v>2890434.7387904</v>
      </c>
      <c r="F57" s="12">
        <f t="shared" si="14"/>
        <v>3020118.731791565</v>
      </c>
      <c r="G57" s="12">
        <f t="shared" si="14"/>
        <v>3153634.8325244603</v>
      </c>
      <c r="H57" s="12">
        <f t="shared" si="14"/>
        <v>3291077.0940563544</v>
      </c>
      <c r="I57" s="12">
        <f t="shared" si="14"/>
        <v>3430481.5107341143</v>
      </c>
      <c r="J57" s="12">
        <f t="shared" si="14"/>
        <v>3574006.933734163</v>
      </c>
      <c r="K57" s="12">
        <f t="shared" si="14"/>
        <v>3721754.259782719</v>
      </c>
      <c r="L57" s="12">
        <f t="shared" si="14"/>
        <v>3873826.7730725254</v>
      </c>
      <c r="M57" s="12">
        <f t="shared" si="14"/>
        <v>4030330.2004028084</v>
      </c>
      <c r="N57" s="12">
        <f t="shared" si="14"/>
        <v>4191372.767569876</v>
      </c>
      <c r="O57" s="12">
        <f t="shared" si="14"/>
        <v>4357065.257036265</v>
      </c>
      <c r="P57" s="12">
        <f t="shared" si="14"/>
        <v>4527521.066907079</v>
      </c>
      <c r="Q57" s="12">
        <f t="shared" si="14"/>
        <v>4702856.271242712</v>
      </c>
      <c r="R57" s="12">
        <f t="shared" si="14"/>
        <v>4883189.6817378085</v>
      </c>
      <c r="S57" s="12">
        <f t="shared" si="14"/>
        <v>5068642.910797013</v>
      </c>
      <c r="T57" s="12">
        <f t="shared" si="14"/>
        <v>5259340.43603869</v>
      </c>
      <c r="U57" s="12">
        <f t="shared" si="14"/>
        <v>5455409.666258512</v>
      </c>
      <c r="V57" s="12">
        <f t="shared" si="14"/>
        <v>5656981.008885514</v>
      </c>
    </row>
    <row r="58" spans="1:22" ht="13.5" thickBot="1">
      <c r="A58" t="s">
        <v>7</v>
      </c>
      <c r="B58" s="2">
        <f>$B$14*B20+$B$15*B21</f>
        <v>9984000</v>
      </c>
      <c r="C58" s="2">
        <f>$B$15*C21</f>
        <v>32191.999999999993</v>
      </c>
      <c r="D58" s="2">
        <f aca="true" t="shared" si="15" ref="D58:V58">$B$15*D21</f>
        <v>32191.999999999993</v>
      </c>
      <c r="E58" s="2">
        <f t="shared" si="15"/>
        <v>32191.999999999993</v>
      </c>
      <c r="F58" s="2">
        <f t="shared" si="15"/>
        <v>32191.999999999993</v>
      </c>
      <c r="G58" s="2">
        <f t="shared" si="15"/>
        <v>32191.999999999993</v>
      </c>
      <c r="H58" s="2">
        <f t="shared" si="15"/>
        <v>32191.999999999993</v>
      </c>
      <c r="I58" s="2">
        <f t="shared" si="15"/>
        <v>32191.999999999993</v>
      </c>
      <c r="J58" s="2">
        <f t="shared" si="15"/>
        <v>32191.999999999993</v>
      </c>
      <c r="K58" s="2">
        <f t="shared" si="15"/>
        <v>32191.999999999993</v>
      </c>
      <c r="L58" s="2">
        <f t="shared" si="15"/>
        <v>32191.999999999993</v>
      </c>
      <c r="M58" s="2">
        <f t="shared" si="15"/>
        <v>32191.999999999993</v>
      </c>
      <c r="N58" s="2">
        <f t="shared" si="15"/>
        <v>32191.999999999993</v>
      </c>
      <c r="O58" s="2">
        <f t="shared" si="15"/>
        <v>32191.999999999993</v>
      </c>
      <c r="P58" s="2">
        <f t="shared" si="15"/>
        <v>32191.999999999993</v>
      </c>
      <c r="Q58" s="2">
        <f t="shared" si="15"/>
        <v>32191.999999999993</v>
      </c>
      <c r="R58" s="2">
        <f t="shared" si="15"/>
        <v>32191.999999999993</v>
      </c>
      <c r="S58" s="2">
        <f t="shared" si="15"/>
        <v>32191.999999999993</v>
      </c>
      <c r="T58" s="2">
        <f t="shared" si="15"/>
        <v>32191.999999999993</v>
      </c>
      <c r="U58" s="2">
        <f t="shared" si="15"/>
        <v>32191.999999999993</v>
      </c>
      <c r="V58" s="2">
        <f t="shared" si="15"/>
        <v>32191.999999999993</v>
      </c>
    </row>
    <row r="59" spans="1:22" s="15" customFormat="1" ht="13.5" customHeight="1" thickTop="1">
      <c r="A59" s="16" t="s">
        <v>32</v>
      </c>
      <c r="B59" s="15">
        <f>B57-B58</f>
        <v>-9984000</v>
      </c>
      <c r="C59" s="15">
        <f>C57-C58</f>
        <v>2610005.7087999997</v>
      </c>
      <c r="D59" s="15">
        <f aca="true" t="shared" si="16" ref="D59:V59">D57-D58</f>
        <v>2732298.9793279995</v>
      </c>
      <c r="E59" s="15">
        <f t="shared" si="16"/>
        <v>2858242.7387904</v>
      </c>
      <c r="F59" s="15">
        <f t="shared" si="16"/>
        <v>2987926.731791565</v>
      </c>
      <c r="G59" s="15">
        <f t="shared" si="16"/>
        <v>3121442.8325244603</v>
      </c>
      <c r="H59" s="15">
        <f t="shared" si="16"/>
        <v>3258885.0940563544</v>
      </c>
      <c r="I59" s="15">
        <f t="shared" si="16"/>
        <v>3398289.5107341143</v>
      </c>
      <c r="J59" s="15">
        <f t="shared" si="16"/>
        <v>3541814.933734163</v>
      </c>
      <c r="K59" s="15">
        <f t="shared" si="16"/>
        <v>3689562.259782719</v>
      </c>
      <c r="L59" s="15">
        <f t="shared" si="16"/>
        <v>3841634.7730725254</v>
      </c>
      <c r="M59" s="15">
        <f t="shared" si="16"/>
        <v>3998138.2004028084</v>
      </c>
      <c r="N59" s="15">
        <f t="shared" si="16"/>
        <v>4159180.767569876</v>
      </c>
      <c r="O59" s="15">
        <f t="shared" si="16"/>
        <v>4324873.257036265</v>
      </c>
      <c r="P59" s="15">
        <f t="shared" si="16"/>
        <v>4495329.066907079</v>
      </c>
      <c r="Q59" s="15">
        <f t="shared" si="16"/>
        <v>4670664.271242712</v>
      </c>
      <c r="R59" s="15">
        <f t="shared" si="16"/>
        <v>4850997.6817378085</v>
      </c>
      <c r="S59" s="15">
        <f t="shared" si="16"/>
        <v>5036450.910797013</v>
      </c>
      <c r="T59" s="15">
        <f t="shared" si="16"/>
        <v>5227148.43603869</v>
      </c>
      <c r="U59" s="15">
        <f t="shared" si="16"/>
        <v>5423217.666258512</v>
      </c>
      <c r="V59" s="15">
        <f t="shared" si="16"/>
        <v>5624789.008885514</v>
      </c>
    </row>
    <row r="60" spans="1:22" s="11" customFormat="1" ht="12.75">
      <c r="A60" s="11" t="s">
        <v>27</v>
      </c>
      <c r="B60" s="39">
        <f>B57</f>
        <v>0</v>
      </c>
      <c r="C60" s="39">
        <f>C57-C58</f>
        <v>2610005.7087999997</v>
      </c>
      <c r="D60" s="39">
        <f>D57-D58</f>
        <v>2732298.9793279995</v>
      </c>
      <c r="E60" s="39">
        <f aca="true" t="shared" si="17" ref="E60:V60">E57-E58</f>
        <v>2858242.7387904</v>
      </c>
      <c r="F60" s="39">
        <f t="shared" si="17"/>
        <v>2987926.731791565</v>
      </c>
      <c r="G60" s="39">
        <f t="shared" si="17"/>
        <v>3121442.8325244603</v>
      </c>
      <c r="H60" s="39">
        <f t="shared" si="17"/>
        <v>3258885.0940563544</v>
      </c>
      <c r="I60" s="39">
        <f t="shared" si="17"/>
        <v>3398289.5107341143</v>
      </c>
      <c r="J60" s="39">
        <f t="shared" si="17"/>
        <v>3541814.933734163</v>
      </c>
      <c r="K60" s="39">
        <f t="shared" si="17"/>
        <v>3689562.259782719</v>
      </c>
      <c r="L60" s="39">
        <f t="shared" si="17"/>
        <v>3841634.7730725254</v>
      </c>
      <c r="M60" s="39">
        <f t="shared" si="17"/>
        <v>3998138.2004028084</v>
      </c>
      <c r="N60" s="39">
        <f t="shared" si="17"/>
        <v>4159180.767569876</v>
      </c>
      <c r="O60" s="39">
        <f t="shared" si="17"/>
        <v>4324873.257036265</v>
      </c>
      <c r="P60" s="39">
        <f t="shared" si="17"/>
        <v>4495329.066907079</v>
      </c>
      <c r="Q60" s="39">
        <f t="shared" si="17"/>
        <v>4670664.271242712</v>
      </c>
      <c r="R60" s="39">
        <f t="shared" si="17"/>
        <v>4850997.6817378085</v>
      </c>
      <c r="S60" s="39">
        <f t="shared" si="17"/>
        <v>5036450.910797013</v>
      </c>
      <c r="T60" s="39">
        <f t="shared" si="17"/>
        <v>5227148.43603869</v>
      </c>
      <c r="U60" s="39">
        <f t="shared" si="17"/>
        <v>5423217.666258512</v>
      </c>
      <c r="V60" s="39">
        <f t="shared" si="17"/>
        <v>5624789.008885514</v>
      </c>
    </row>
    <row r="61" spans="1:23" ht="12.75">
      <c r="A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>
      <c r="A62" s="1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>
      <c r="A63" s="1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>
      <c r="A64" s="28" t="s">
        <v>45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8" s="6" customFormat="1" ht="12.75">
      <c r="A65" s="11" t="s">
        <v>35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6" customFormat="1" ht="12.75">
      <c r="A66" s="4" t="s">
        <v>36</v>
      </c>
      <c r="B66" s="20">
        <v>14300000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6" customFormat="1" ht="12.75">
      <c r="A67" s="4" t="s">
        <v>49</v>
      </c>
      <c r="B67" s="21">
        <v>1.37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6" customFormat="1" ht="12.75">
      <c r="A68" s="4" t="s">
        <v>66</v>
      </c>
      <c r="B68" s="22">
        <v>0.067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s="6" customFormat="1" ht="12.75">
      <c r="A69" s="4" t="s">
        <v>50</v>
      </c>
      <c r="B69" s="23">
        <v>1</v>
      </c>
      <c r="C69" s="24"/>
      <c r="D69" s="22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6" customFormat="1" ht="12.75">
      <c r="A70" s="4" t="s">
        <v>67</v>
      </c>
      <c r="B70" s="22">
        <f>B68+0.075</f>
        <v>0.14200000000000002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6" customFormat="1" ht="12.75">
      <c r="A71" s="4" t="s">
        <v>51</v>
      </c>
      <c r="B71" s="22">
        <v>0.088</v>
      </c>
      <c r="C71" s="2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6" customFormat="1" ht="12.75">
      <c r="A72" s="4" t="s">
        <v>52</v>
      </c>
      <c r="B72" s="19">
        <v>507000000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4" spans="1:28" s="6" customFormat="1" ht="12.75">
      <c r="A74" s="11" t="s">
        <v>37</v>
      </c>
      <c r="B74" s="2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s="6" customFormat="1" ht="12.75">
      <c r="A75" s="4" t="s">
        <v>38</v>
      </c>
      <c r="B75" s="22">
        <f>B68+B69*(B70-B68)</f>
        <v>0.14200000000000002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s="6" customFormat="1" ht="12.75">
      <c r="A76" s="4" t="s">
        <v>70</v>
      </c>
      <c r="B76" s="22">
        <f>(1/(1+B67))*B75+(B67/(B67+1))*B71*(1-$B$11)</f>
        <v>0.09450666666666667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3" ht="12.75">
      <c r="A77" s="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>
      <c r="A78" s="27" t="s">
        <v>54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3" ht="12.75">
      <c r="A79" s="6" t="s">
        <v>13</v>
      </c>
      <c r="B79" s="2">
        <f>NPV($B$76,C59:V59)+B59</f>
        <v>21403184.093395725</v>
      </c>
      <c r="C79" s="2"/>
    </row>
    <row r="80" spans="1:3" ht="12.75">
      <c r="A80" t="s">
        <v>12</v>
      </c>
      <c r="B80" s="7">
        <f>(1/(1+$B$76)^V19)*(V59/$B$76)</f>
        <v>9778574.899358163</v>
      </c>
      <c r="C80" s="7"/>
    </row>
    <row r="81" spans="1:3" ht="12.75">
      <c r="A81" s="8" t="s">
        <v>33</v>
      </c>
      <c r="B81" s="9">
        <f>B79+B80</f>
        <v>31181758.992753886</v>
      </c>
      <c r="C81" s="7"/>
    </row>
    <row r="82" spans="1:3" ht="12.75">
      <c r="A82" s="4" t="s">
        <v>31</v>
      </c>
      <c r="B82" s="30">
        <f>B81/(B5*B6)</f>
        <v>2030.0624344240812</v>
      </c>
      <c r="C82" s="7"/>
    </row>
    <row r="83" spans="2:3" ht="12.75">
      <c r="B83" s="2"/>
      <c r="C83" s="2"/>
    </row>
    <row r="84" spans="1:2" ht="13.5" thickBot="1">
      <c r="A84" s="27" t="s">
        <v>55</v>
      </c>
      <c r="B84" s="18"/>
    </row>
    <row r="85" ht="14.25" thickBot="1" thickTop="1">
      <c r="B85" s="32" t="s">
        <v>60</v>
      </c>
    </row>
    <row r="86" spans="1:2" ht="13.5" thickTop="1">
      <c r="A86" s="4" t="s">
        <v>31</v>
      </c>
      <c r="B86" s="33">
        <f>B82</f>
        <v>2030.0624344240812</v>
      </c>
    </row>
    <row r="87" spans="1:2" ht="12.75">
      <c r="A87" s="4" t="s">
        <v>36</v>
      </c>
      <c r="B87" s="34">
        <f>B66</f>
        <v>14300000</v>
      </c>
    </row>
    <row r="88" spans="1:2" ht="12.75">
      <c r="A88" s="8" t="s">
        <v>42</v>
      </c>
      <c r="B88" s="31">
        <f>B86*B87</f>
        <v>29029892812.264362</v>
      </c>
    </row>
    <row r="89" ht="12.75">
      <c r="B89" s="35"/>
    </row>
    <row r="90" spans="1:2" ht="12.75">
      <c r="A90" s="27" t="s">
        <v>56</v>
      </c>
      <c r="B90" s="35"/>
    </row>
    <row r="91" spans="1:2" ht="12.75">
      <c r="A91" s="4" t="s">
        <v>47</v>
      </c>
      <c r="B91" s="35">
        <f>14188000000+2155000000</f>
        <v>16343000000</v>
      </c>
    </row>
    <row r="92" spans="1:2" ht="13.5" thickBot="1">
      <c r="A92" s="26" t="s">
        <v>48</v>
      </c>
      <c r="B92" s="36">
        <f>B88-B91</f>
        <v>12686892812.264362</v>
      </c>
    </row>
    <row r="93" spans="1:2" ht="14.25" thickBot="1" thickTop="1">
      <c r="A93" s="3" t="s">
        <v>34</v>
      </c>
      <c r="B93" s="45">
        <f>B92/B72</f>
        <v>25.02345722340111</v>
      </c>
    </row>
    <row r="94" spans="1:2" ht="13.5" thickTop="1">
      <c r="A94" s="3" t="s">
        <v>74</v>
      </c>
      <c r="B94" s="47">
        <v>20.5</v>
      </c>
    </row>
    <row r="95" spans="1:28" s="6" customFormat="1" ht="12.75">
      <c r="A95" s="3" t="s">
        <v>43</v>
      </c>
      <c r="B95" s="46" t="s">
        <v>61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7" spans="1:2" ht="12.75">
      <c r="A97" s="11" t="s">
        <v>57</v>
      </c>
      <c r="B97" s="2"/>
    </row>
    <row r="98" spans="1:2" ht="12.75">
      <c r="A98" s="11" t="s">
        <v>72</v>
      </c>
      <c r="B98" s="40">
        <v>0.1228</v>
      </c>
    </row>
    <row r="99" spans="1:2" ht="12.75">
      <c r="A99" s="11" t="s">
        <v>41</v>
      </c>
      <c r="B99" s="39">
        <f>NPV(B98,C60:V60)</f>
        <v>25279327.343918934</v>
      </c>
    </row>
    <row r="100" spans="1:2" ht="12.75">
      <c r="A100" s="11" t="s">
        <v>39</v>
      </c>
      <c r="B100" s="41">
        <f>(1/(1+$B$98)^V19)*(V60/$B$98)</f>
        <v>4517100.885341909</v>
      </c>
    </row>
    <row r="101" spans="1:2" ht="12.75">
      <c r="A101" s="25" t="s">
        <v>40</v>
      </c>
      <c r="B101" s="42">
        <f>SUM(B99:B100)</f>
        <v>29796428.229260843</v>
      </c>
    </row>
    <row r="102" spans="1:2" ht="12.75">
      <c r="A102" s="11" t="s">
        <v>28</v>
      </c>
      <c r="B102" s="37">
        <f>B101/(B5*B6)</f>
        <v>1939.8716295091695</v>
      </c>
    </row>
    <row r="103" spans="1:2" ht="12.75">
      <c r="A103" s="11"/>
      <c r="B103" s="2"/>
    </row>
    <row r="104" spans="1:2" ht="12.75">
      <c r="A104" s="11" t="s">
        <v>46</v>
      </c>
      <c r="B104" s="43">
        <v>11</v>
      </c>
    </row>
    <row r="105" spans="1:2" ht="12.75">
      <c r="A105" s="11" t="str">
        <f>CONCATENATE("Buyer Value at ",B104,"x Cash Flow")</f>
        <v>Buyer Value at 11x Cash Flow</v>
      </c>
      <c r="B105" s="39">
        <f>C59*B104</f>
        <v>28710062.796799995</v>
      </c>
    </row>
    <row r="106" spans="1:2" ht="12.75">
      <c r="A106" s="11" t="str">
        <f>CONCATENATE("Buyer Value per Cable Subscriber at ",B104,"x Cash Flow")</f>
        <v>Buyer Value per Cable Subscriber at 11x Cash Flow</v>
      </c>
      <c r="B106" s="37">
        <f>B105/($B$5*$B$6)</f>
        <v>1869.144713333333</v>
      </c>
    </row>
    <row r="107" spans="1:2" ht="12.75">
      <c r="A107" s="11"/>
      <c r="B107" s="7"/>
    </row>
    <row r="108" spans="1:2" ht="12.75">
      <c r="A108" s="11" t="s">
        <v>58</v>
      </c>
      <c r="B108" s="38">
        <f>ABS(1-(B102/B106))</f>
        <v>0.037839186913305456</v>
      </c>
    </row>
    <row r="110" ht="12.75">
      <c r="A110" t="s">
        <v>69</v>
      </c>
    </row>
    <row r="111" ht="12.75">
      <c r="A111" s="7" t="s">
        <v>68</v>
      </c>
    </row>
    <row r="112" ht="12.75">
      <c r="A112" s="7" t="s">
        <v>71</v>
      </c>
    </row>
    <row r="113" ht="12.75">
      <c r="A113" s="44" t="s">
        <v>73</v>
      </c>
    </row>
  </sheetData>
  <printOptions/>
  <pageMargins left="0.75" right="0.75" top="1" bottom="1" header="0.5" footer="0.5"/>
  <pageSetup horizontalDpi="200" verticalDpi="2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Gardner</dc:creator>
  <cp:keywords/>
  <dc:description/>
  <cp:lastModifiedBy>Christopher Gardner</cp:lastModifiedBy>
  <cp:lastPrinted>1998-05-14T19:22:49Z</cp:lastPrinted>
  <dcterms:created xsi:type="dcterms:W3CDTF">1998-03-16T15:37:47Z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