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5355" windowHeight="61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<sst xmlns="http://schemas.openxmlformats.org/spreadsheetml/2006/main" count="156" uniqueCount="140">
  <si>
    <t>Year</t>
  </si>
  <si>
    <t>Number of Years to Peak Penetration</t>
  </si>
  <si>
    <t>Number of Households</t>
  </si>
  <si>
    <t>Peak Penetration of Cable Modem Service (%Cable Subs)</t>
  </si>
  <si>
    <t>Cable Subscriber Penetration</t>
  </si>
  <si>
    <t>Cable Modem Penetration of Cable Subscribers</t>
  </si>
  <si>
    <t>REVENUES</t>
  </si>
  <si>
    <t>Cable Modem Service Monthly Charge per User</t>
  </si>
  <si>
    <t>Subscription Fees</t>
  </si>
  <si>
    <t>Installation Charge</t>
  </si>
  <si>
    <t>Cable Modem Price per Unit</t>
  </si>
  <si>
    <t>Ethernet Connection Price per Unit</t>
  </si>
  <si>
    <t>Economic Life (Years)</t>
  </si>
  <si>
    <t>Tax Rate</t>
  </si>
  <si>
    <t>Inflation Rate</t>
  </si>
  <si>
    <t>Total Revenues</t>
  </si>
  <si>
    <t>COSTS</t>
  </si>
  <si>
    <t>Investment Costs:</t>
  </si>
  <si>
    <t>Headend Router Package</t>
  </si>
  <si>
    <t>Number of Cable Modem Subscribers per 6MHz Channel</t>
  </si>
  <si>
    <t>Annual Equipment Price or Cost Variation (% of Previous Year)</t>
  </si>
  <si>
    <t>Local Content Server</t>
  </si>
  <si>
    <t>Cable Network Manager</t>
  </si>
  <si>
    <t>Router for T3 Line</t>
  </si>
  <si>
    <t>Installation for T3 Line</t>
  </si>
  <si>
    <t>Cable Modem Hookup and Installation</t>
  </si>
  <si>
    <t>Items Not Subject to Replacement</t>
  </si>
  <si>
    <t>Subtotal</t>
  </si>
  <si>
    <t>Equipment Replacement</t>
  </si>
  <si>
    <t>Other</t>
  </si>
  <si>
    <t>Working Capital</t>
  </si>
  <si>
    <t>Working Capital (% of Annual Revenue)</t>
  </si>
  <si>
    <t>Operating Costs:</t>
  </si>
  <si>
    <t>Replacement Cable Modems</t>
  </si>
  <si>
    <t>Replacement Ethernet Connections</t>
  </si>
  <si>
    <t>Replacement Installation Charges</t>
  </si>
  <si>
    <t>Cable Modems</t>
  </si>
  <si>
    <t>Ethernet Connections</t>
  </si>
  <si>
    <t>Installation Charges</t>
  </si>
  <si>
    <t>Internet, Bank, PC Telephone Network Connection</t>
  </si>
  <si>
    <t>Cable Modem Service Calls</t>
  </si>
  <si>
    <t>Cable Modem Marketing and Sales</t>
  </si>
  <si>
    <t>Cable Modem Billing</t>
  </si>
  <si>
    <t>Cable Modem Telephone Support</t>
  </si>
  <si>
    <t>Cable Modem Equipment Maintenance and Software Licensing Fees</t>
  </si>
  <si>
    <t>Depreciation:</t>
  </si>
  <si>
    <t>Markup</t>
  </si>
  <si>
    <t>Cable Modem Hookup and Installation (i.e., churn-related)</t>
  </si>
  <si>
    <t>Equipment Depreciation (straight line, no salvage value)</t>
  </si>
  <si>
    <t>Earnings Before Interest and Taxes</t>
  </si>
  <si>
    <t>Earnings Before Interest and Taxes:</t>
  </si>
  <si>
    <t>Total Operating Costs</t>
  </si>
  <si>
    <t>Taxes:</t>
  </si>
  <si>
    <t>Taxes</t>
  </si>
  <si>
    <t>Net Taxes</t>
  </si>
  <si>
    <t>Amount of Tax Loss Carry Forward Applied Against Current Taxes</t>
  </si>
  <si>
    <t>Cumulative Tax Loss Carry Forward (Beginning of Year)</t>
  </si>
  <si>
    <t>Cumulative Tax Loss Carry Forward (End of Year)</t>
  </si>
  <si>
    <t>Earnings Before Interest but After Taxes:</t>
  </si>
  <si>
    <t>Earnings Before Interest but After Taxes</t>
  </si>
  <si>
    <t>Gross Cash Flow</t>
  </si>
  <si>
    <t>Gross Cash Flow:</t>
  </si>
  <si>
    <t>Total Investment Costs</t>
  </si>
  <si>
    <t>Demand Curve: Plot Points</t>
  </si>
  <si>
    <t>Demand Curve: Parameter a</t>
  </si>
  <si>
    <t>Demand Curve: Parameter b</t>
  </si>
  <si>
    <t>Demand Curve (Cumulative %)</t>
  </si>
  <si>
    <r>
      <t>Basis of Demand Curve: e</t>
    </r>
    <r>
      <rPr>
        <vertAlign val="superscript"/>
        <sz val="10"/>
        <rFont val="Arial"/>
        <family val="2"/>
      </rPr>
      <t>z</t>
    </r>
    <r>
      <rPr>
        <sz val="10"/>
        <rFont val="Arial"/>
        <family val="2"/>
      </rPr>
      <t>/(1+e</t>
    </r>
    <r>
      <rPr>
        <vertAlign val="superscript"/>
        <sz val="10"/>
        <rFont val="Arial"/>
        <family val="2"/>
      </rPr>
      <t>z</t>
    </r>
    <r>
      <rPr>
        <sz val="10"/>
        <rFont val="Arial"/>
        <family val="2"/>
      </rPr>
      <t>) where z={-10,10}</t>
    </r>
  </si>
  <si>
    <t>Demand Curve: Formula (this is used to create S-curves)</t>
  </si>
  <si>
    <t>z={-10,10}</t>
  </si>
  <si>
    <t>((EXP(1)^($B$6*$B$8)+EXP(1)^-$B$9)*(-1+EXP(1)^($B$8*Year)))/((-1+EXP(1)^($B$6*$B$8))*(EXP(1)^-$B$9+EXP(1)^($B$8*Year)))</t>
  </si>
  <si>
    <t>CASH FLOW FROM OPERATIONS</t>
  </si>
  <si>
    <t>Cost of Equity</t>
  </si>
  <si>
    <t>Interest Payments</t>
  </si>
  <si>
    <t>Number of Years on Loan</t>
  </si>
  <si>
    <t>Earnings After Interest but Before Taxes</t>
  </si>
  <si>
    <t>Interest Payments:</t>
  </si>
  <si>
    <t>Earnings After Interest but Before Taxes:</t>
  </si>
  <si>
    <t>Earnings After Interest and Taxes</t>
  </si>
  <si>
    <t>Inputs:</t>
  </si>
  <si>
    <t>Derived  Numbers:</t>
  </si>
  <si>
    <t>Current Stock Price</t>
  </si>
  <si>
    <t>Number of Shares of Stock to be Issued</t>
  </si>
  <si>
    <t>Earnings Available for Stockholders:</t>
  </si>
  <si>
    <t>Number of Shares of Stock Outstanding:</t>
  </si>
  <si>
    <t>Earnings per Share</t>
  </si>
  <si>
    <t>Earnings per Share:</t>
  </si>
  <si>
    <t>Principal Repayment per Year:</t>
  </si>
  <si>
    <t>Principal Repayment per Year per Share</t>
  </si>
  <si>
    <t>Principal Repayment in Total per Year</t>
  </si>
  <si>
    <t>Uncommitted Earnings per Share:</t>
  </si>
  <si>
    <t>Uncommitted Earnings per Share</t>
  </si>
  <si>
    <t>Depreciation per Share:</t>
  </si>
  <si>
    <t>Depreciation per Share</t>
  </si>
  <si>
    <t>Number of Shares of Stock Initially Ascribed to this Cable System</t>
  </si>
  <si>
    <t>Principal Repayment on Debt per Year</t>
  </si>
  <si>
    <t>Cash Flow to Stockholders per Share</t>
  </si>
  <si>
    <t>Cash Flow to Stockholders per Share:</t>
  </si>
  <si>
    <t>Present Value of Cash Flow to Stockholders per Share</t>
  </si>
  <si>
    <t>Continuing Value of Cash Flow to Stockholders per Share</t>
  </si>
  <si>
    <t>Value to Stockholders per Share</t>
  </si>
  <si>
    <t>Share Price Range from 9/30/97 to 3/31/98</t>
  </si>
  <si>
    <t>CABLE MODEM SYSTEM VALUATION- TCI (AS OF 9/30/97)</t>
  </si>
  <si>
    <t>(excludes cable service)</t>
  </si>
  <si>
    <t>Debt/Equity Ratio*</t>
  </si>
  <si>
    <t>Beta*</t>
  </si>
  <si>
    <t>Cost of Debt (pre-Tax)*</t>
  </si>
  <si>
    <t>Number of Shares of Stock Initially*</t>
  </si>
  <si>
    <t>SINGLE SYSTEM OPERATION</t>
  </si>
  <si>
    <t>SINGLE SYSTEM FINANCING</t>
  </si>
  <si>
    <t>MULTIPLE SYSTEM FINANCING</t>
  </si>
  <si>
    <t>Percent of Systems Upgraded to Cable Modem Service</t>
  </si>
  <si>
    <t>Project Risk Premium</t>
  </si>
  <si>
    <t>Model is restricted to a maximum 25 years of detailed cash flows</t>
  </si>
  <si>
    <t>same as above</t>
  </si>
  <si>
    <t>Cable Modem Penetration of Households</t>
  </si>
  <si>
    <t>Begin # of Cable Modem Subscribers</t>
  </si>
  <si>
    <t>End # of Cable Modem Subscribers</t>
  </si>
  <si>
    <t>Avg # of Cable Modem Subscribers</t>
  </si>
  <si>
    <t># of Incremental Channels Needed</t>
  </si>
  <si>
    <t>SHAREHOLDER VALUE</t>
  </si>
  <si>
    <t>Equity Portion</t>
  </si>
  <si>
    <t>Debt Portion</t>
  </si>
  <si>
    <t>Total Number of Cable Subscribers Served by the Company</t>
  </si>
  <si>
    <t>Weighted Average Cost of Capital (after-Tax)</t>
  </si>
  <si>
    <t>Risk-Adjusted Cost of Equity</t>
  </si>
  <si>
    <t>Risk-Adjusted Weighted Average Cost of Capital (after-Tax)</t>
  </si>
  <si>
    <t>High $33 1/16 - Low $19 1/2</t>
  </si>
  <si>
    <t xml:space="preserve">    Value to TCI</t>
  </si>
  <si>
    <t>Model is restricted to one economic life and no more than 6 generations of replacements</t>
  </si>
  <si>
    <t>Investment Cost per Share (Present Value)</t>
  </si>
  <si>
    <t>Proceeds from Issuance of Equity per Share</t>
  </si>
  <si>
    <t>Proceeds from Issuance of Debt per Share</t>
  </si>
  <si>
    <t>Investment Cost per Share:</t>
  </si>
  <si>
    <t>Capital Raised per Share:</t>
  </si>
  <si>
    <t>Investment Cost (Present Value Plus Continuing Value)</t>
  </si>
  <si>
    <t>Risk Free Rate of Return (US Treasury 20 Year Bond Yeild 1926-1996)**</t>
  </si>
  <si>
    <t>Average Return on Large Company Stocks (1926-1996)**</t>
  </si>
  <si>
    <t>**Stocks, Bonds, Bills, and Inflation 1997 Yearbook</t>
  </si>
  <si>
    <t>*Value Line (figures as of 9/30/97)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</si>
</sst>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000000000000000%"/>
    <numFmt numFmtId="166" formatCode="&quot;$&quot;#,##0"/>
    <numFmt numFmtId="167" formatCode="&quot;$&quot;#,##0.00"/>
    <numFmt numFmtId="168" formatCode="&quot;$&quot;#,##0.0"/>
    <numFmt numFmtId="169" formatCode="0.0"/>
    <numFmt numFmtId="170" formatCode="#,##0.000"/>
    <numFmt numFmtId="171" formatCode="0.000000000000000%"/>
  </numFmts>
  <fonts count="21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name val="Arial"/>
      <family val="0"/>
    </font>
    <font>
      <b/>
      <sz val="19"/>
      <name val="Arial"/>
      <family val="0"/>
    </font>
    <font>
      <b/>
      <sz val="11.5"/>
      <name val="Arial"/>
      <family val="0"/>
    </font>
    <font>
      <sz val="11.5"/>
      <name val="Arial"/>
      <family val="0"/>
    </font>
    <font>
      <sz val="15.75"/>
      <name val="Arial"/>
      <family val="0"/>
    </font>
    <font>
      <vertAlign val="superscript"/>
      <sz val="10"/>
      <name val="Arial"/>
      <family val="2"/>
    </font>
    <font>
      <vertAlign val="superscript"/>
      <sz val="12"/>
      <name val="Arial"/>
      <family val="2"/>
    </font>
    <font>
      <b/>
      <sz val="8"/>
      <name val="Arial"/>
      <family val="0"/>
    </font>
    <font>
      <u val="single"/>
      <sz val="12"/>
      <name val="Arial"/>
      <family val="2"/>
    </font>
    <font>
      <sz val="8"/>
      <name val="Arial"/>
      <family val="0"/>
    </font>
    <font>
      <sz val="15"/>
      <name val="Arial"/>
      <family val="0"/>
    </font>
    <font>
      <u val="single"/>
      <vertAlign val="superscript"/>
      <sz val="12"/>
      <name val="Arial"/>
      <family val="2"/>
    </font>
    <font>
      <i/>
      <sz val="10.25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i/>
      <sz val="8.75"/>
      <name val="Arial"/>
      <family val="2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thick"/>
      <top style="thick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9" fontId="0" fillId="0" borderId="0" xfId="0" applyNumberFormat="1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166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166" fontId="0" fillId="0" borderId="1" xfId="0" applyNumberFormat="1" applyBorder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166" fontId="0" fillId="0" borderId="0" xfId="0" applyNumberFormat="1" applyBorder="1" applyAlignment="1">
      <alignment/>
    </xf>
    <xf numFmtId="4" fontId="0" fillId="0" borderId="0" xfId="0" applyNumberFormat="1" applyBorder="1" applyAlignment="1">
      <alignment/>
    </xf>
    <xf numFmtId="0" fontId="0" fillId="0" borderId="1" xfId="0" applyFont="1" applyBorder="1" applyAlignment="1">
      <alignment/>
    </xf>
    <xf numFmtId="0" fontId="0" fillId="0" borderId="2" xfId="0" applyBorder="1" applyAlignment="1">
      <alignment/>
    </xf>
    <xf numFmtId="166" fontId="0" fillId="0" borderId="2" xfId="0" applyNumberFormat="1" applyBorder="1" applyAlignment="1">
      <alignment/>
    </xf>
    <xf numFmtId="167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9" fontId="0" fillId="0" borderId="0" xfId="0" applyNumberFormat="1" applyFont="1" applyAlignment="1">
      <alignment/>
    </xf>
    <xf numFmtId="0" fontId="0" fillId="0" borderId="3" xfId="0" applyBorder="1" applyAlignment="1">
      <alignment/>
    </xf>
    <xf numFmtId="166" fontId="0" fillId="0" borderId="3" xfId="0" applyNumberForma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9" fontId="0" fillId="0" borderId="0" xfId="0" applyNumberFormat="1" applyBorder="1" applyAlignment="1">
      <alignment/>
    </xf>
    <xf numFmtId="164" fontId="0" fillId="0" borderId="0" xfId="0" applyNumberFormat="1" applyBorder="1" applyAlignment="1">
      <alignment/>
    </xf>
    <xf numFmtId="169" fontId="0" fillId="0" borderId="0" xfId="0" applyNumberFormat="1" applyBorder="1" applyAlignment="1">
      <alignment/>
    </xf>
    <xf numFmtId="167" fontId="0" fillId="0" borderId="0" xfId="0" applyNumberFormat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168" fontId="0" fillId="0" borderId="0" xfId="0" applyNumberFormat="1" applyAlignment="1">
      <alignment/>
    </xf>
    <xf numFmtId="0" fontId="17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/>
    </xf>
    <xf numFmtId="167" fontId="0" fillId="0" borderId="5" xfId="0" applyNumberFormat="1" applyBorder="1" applyAlignment="1">
      <alignment/>
    </xf>
    <xf numFmtId="167" fontId="0" fillId="0" borderId="6" xfId="0" applyNumberFormat="1" applyBorder="1" applyAlignment="1">
      <alignment/>
    </xf>
    <xf numFmtId="9" fontId="0" fillId="0" borderId="5" xfId="0" applyNumberFormat="1" applyBorder="1" applyAlignment="1">
      <alignment/>
    </xf>
    <xf numFmtId="0" fontId="0" fillId="0" borderId="7" xfId="0" applyBorder="1" applyAlignment="1">
      <alignment/>
    </xf>
    <xf numFmtId="0" fontId="18" fillId="0" borderId="0" xfId="0" applyFont="1" applyAlignment="1">
      <alignment/>
    </xf>
    <xf numFmtId="0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167" fontId="0" fillId="0" borderId="8" xfId="0" applyNumberFormat="1" applyBorder="1" applyAlignment="1">
      <alignment/>
    </xf>
    <xf numFmtId="0" fontId="17" fillId="0" borderId="2" xfId="0" applyFont="1" applyBorder="1" applyAlignment="1">
      <alignment/>
    </xf>
    <xf numFmtId="167" fontId="17" fillId="0" borderId="7" xfId="0" applyNumberFormat="1" applyFont="1" applyBorder="1" applyAlignment="1">
      <alignment/>
    </xf>
    <xf numFmtId="0" fontId="17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00" b="1" i="0" u="none" baseline="0">
                <a:latin typeface="Arial"/>
                <a:ea typeface="Arial"/>
                <a:cs typeface="Arial"/>
              </a:rPr>
              <a:t>Demand Curve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55"/>
          <c:y val="0.22025"/>
          <c:w val="0.658"/>
          <c:h val="0.687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Sheet1!$B$15:$AB$15</c:f>
              <c:numCach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val>
          <c:smooth val="0"/>
        </c:ser>
        <c:axId val="32812909"/>
        <c:axId val="26880726"/>
      </c:lineChart>
      <c:catAx>
        <c:axId val="328129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880726"/>
        <c:crosses val="autoZero"/>
        <c:auto val="1"/>
        <c:lblOffset val="100"/>
        <c:noMultiLvlLbl val="0"/>
      </c:catAx>
      <c:valAx>
        <c:axId val="26880726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Percent of Peak Penetration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812909"/>
        <c:crossesAt val="1"/>
        <c:crossBetween val="between"/>
        <c:dispUnits/>
        <c:majorUnit val="0.2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5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Basic S-Curve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365"/>
          <c:y val="0.2885"/>
          <c:w val="0.42625"/>
          <c:h val="0.5985"/>
        </c:manualLayout>
      </c:layout>
      <c:lineChart>
        <c:grouping val="standard"/>
        <c:varyColors val="0"/>
        <c:ser>
          <c:idx val="1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Sheet1!$B$13:$V$13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cat>
          <c:val>
            <c:numRef>
              <c:f>Sheet1!$B$14:$V$14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axId val="40599943"/>
        <c:axId val="29855168"/>
      </c:lineChart>
      <c:catAx>
        <c:axId val="405999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at+b (where t=number of years)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9855168"/>
        <c:crosses val="autoZero"/>
        <c:auto val="1"/>
        <c:lblOffset val="100"/>
        <c:noMultiLvlLbl val="0"/>
      </c:catAx>
      <c:valAx>
        <c:axId val="29855168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crossAx val="4059994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0.73125</cdr:x>
      <cdr:y>0.24475</cdr:y>
    </cdr:from>
    <cdr:to>
      <cdr:x>0.7465</cdr:x>
      <cdr:y>0.272</cdr:y>
    </cdr:to>
    <cdr:sp>
      <cdr:nvSpPr>
        <cdr:cNvPr id="1" name="TextBox 1"/>
        <cdr:cNvSpPr txBox="1">
          <a:spLocks noChangeArrowheads="1"/>
        </cdr:cNvSpPr>
      </cdr:nvSpPr>
      <cdr:spPr>
        <a:xfrm>
          <a:off x="4114800" y="771525"/>
          <a:ext cx="85725" cy="85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0.73075</cdr:x>
      <cdr:y>0.35275</cdr:y>
    </cdr:from>
    <cdr:to>
      <cdr:x>0.92875</cdr:x>
      <cdr:y>0.401</cdr:y>
    </cdr:to>
    <cdr:sp>
      <cdr:nvSpPr>
        <cdr:cNvPr id="2" name="TextBox 2"/>
        <cdr:cNvSpPr txBox="1">
          <a:spLocks noChangeArrowheads="1"/>
        </cdr:cNvSpPr>
      </cdr:nvSpPr>
      <cdr:spPr>
        <a:xfrm>
          <a:off x="4105275" y="1104900"/>
          <a:ext cx="111442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Peak Penetration</a:t>
          </a:r>
        </a:p>
      </cdr:txBody>
    </cdr:sp>
  </cdr:relSizeAnchor>
  <cdr:relSizeAnchor xmlns:cdr="http://schemas.openxmlformats.org/drawingml/2006/chartDrawing">
    <cdr:from>
      <cdr:x>0.82275</cdr:x>
      <cdr:y>0.6875</cdr:y>
    </cdr:from>
    <cdr:to>
      <cdr:x>0.88025</cdr:x>
      <cdr:y>0.757</cdr:y>
    </cdr:to>
    <cdr:sp>
      <cdr:nvSpPr>
        <cdr:cNvPr id="3" name="TextBox 3"/>
        <cdr:cNvSpPr txBox="1">
          <a:spLocks noChangeArrowheads="1"/>
        </cdr:cNvSpPr>
      </cdr:nvSpPr>
      <cdr:spPr>
        <a:xfrm>
          <a:off x="4629150" y="2162175"/>
          <a:ext cx="3238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0.92025</cdr:x>
      <cdr:y>0.35275</cdr:y>
    </cdr:from>
    <cdr:to>
      <cdr:x>0.9795</cdr:x>
      <cdr:y>0.41925</cdr:y>
    </cdr:to>
    <cdr:sp textlink="Sheet1!$B$7">
      <cdr:nvSpPr>
        <cdr:cNvPr id="4" name="TextBox 4"/>
        <cdr:cNvSpPr txBox="1">
          <a:spLocks noChangeArrowheads="1"/>
        </cdr:cNvSpPr>
      </cdr:nvSpPr>
      <cdr:spPr>
        <a:xfrm>
          <a:off x="5172075" y="1104900"/>
          <a:ext cx="3333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fld id="{68493dc4-5f3f-480c-abf8-f74314932dba}" type="TxLink">
            <a:rPr lang="en-US" cap="none" sz="1000" b="0" i="0" u="none" baseline="0">
              <a:latin typeface="Arial"/>
              <a:ea typeface="Arial"/>
              <a:cs typeface="Arial"/>
            </a:rPr>
            <a:t>30%</a:t>
          </a:fld>
        </a:p>
      </cdr:txBody>
    </cdr:sp>
  </cdr:relSizeAnchor>
  <cdr:relSizeAnchor xmlns:cdr="http://schemas.openxmlformats.org/drawingml/2006/chartDrawing">
    <cdr:from>
      <cdr:x>0.7325</cdr:x>
      <cdr:y>0.40225</cdr:y>
    </cdr:from>
    <cdr:to>
      <cdr:x>0.97775</cdr:x>
      <cdr:y>0.52</cdr:y>
    </cdr:to>
    <cdr:sp>
      <cdr:nvSpPr>
        <cdr:cNvPr id="5" name="TextBox 5"/>
        <cdr:cNvSpPr txBox="1">
          <a:spLocks noChangeArrowheads="1"/>
        </cdr:cNvSpPr>
      </cdr:nvSpPr>
      <cdr:spPr>
        <a:xfrm>
          <a:off x="4114800" y="1266825"/>
          <a:ext cx="1381125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of Cable Subscribers Achieved in Year</a:t>
          </a:r>
        </a:p>
      </cdr:txBody>
    </cdr:sp>
  </cdr:relSizeAnchor>
  <cdr:relSizeAnchor xmlns:cdr="http://schemas.openxmlformats.org/drawingml/2006/chartDrawing">
    <cdr:from>
      <cdr:x>0.81375</cdr:x>
      <cdr:y>0.62025</cdr:y>
    </cdr:from>
    <cdr:to>
      <cdr:x>0.87125</cdr:x>
      <cdr:y>0.68975</cdr:y>
    </cdr:to>
    <cdr:sp>
      <cdr:nvSpPr>
        <cdr:cNvPr id="6" name="TextBox 6"/>
        <cdr:cNvSpPr txBox="1">
          <a:spLocks noChangeArrowheads="1"/>
        </cdr:cNvSpPr>
      </cdr:nvSpPr>
      <cdr:spPr>
        <a:xfrm>
          <a:off x="4572000" y="1952625"/>
          <a:ext cx="3238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0.92025</cdr:x>
      <cdr:y>0.454</cdr:y>
    </cdr:from>
    <cdr:to>
      <cdr:x>0.9575</cdr:x>
      <cdr:y>0.5205</cdr:y>
    </cdr:to>
    <cdr:sp textlink="Sheet1!$B$8">
      <cdr:nvSpPr>
        <cdr:cNvPr id="7" name="TextBox 7"/>
        <cdr:cNvSpPr txBox="1">
          <a:spLocks noChangeArrowheads="1"/>
        </cdr:cNvSpPr>
      </cdr:nvSpPr>
      <cdr:spPr>
        <a:xfrm>
          <a:off x="5172075" y="1428750"/>
          <a:ext cx="20955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fld id="{c64b4446-af05-44ab-b66d-be29bdf396a2}" type="TxLink">
            <a:rPr lang="en-US" cap="none" sz="1000" b="0" i="0" u="none" baseline="0">
              <a:latin typeface="Arial"/>
              <a:ea typeface="Arial"/>
              <a:cs typeface="Arial"/>
            </a:rPr>
            <a:t>10</a:t>
          </a:fld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0.01075</cdr:x>
      <cdr:y>0.422</cdr:y>
    </cdr:from>
    <cdr:to>
      <cdr:x>0.198</cdr:x>
      <cdr:y>0.727</cdr:y>
    </cdr:to>
    <cdr:sp>
      <cdr:nvSpPr>
        <cdr:cNvPr id="1" name="TextBox 1"/>
        <cdr:cNvSpPr txBox="1">
          <a:spLocks noChangeArrowheads="1"/>
        </cdr:cNvSpPr>
      </cdr:nvSpPr>
      <cdr:spPr>
        <a:xfrm>
          <a:off x="57150" y="1314450"/>
          <a:ext cx="1009650" cy="952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sng" baseline="0">
              <a:latin typeface="Arial"/>
              <a:ea typeface="Arial"/>
              <a:cs typeface="Arial"/>
            </a:rPr>
            <a:t>  e</a:t>
          </a:r>
          <a:r>
            <a:rPr lang="en-US" cap="none" sz="1200" b="0" i="0" u="sng" baseline="30000">
              <a:latin typeface="Arial"/>
              <a:ea typeface="Arial"/>
              <a:cs typeface="Arial"/>
            </a:rPr>
            <a:t>at+b</a:t>
          </a:r>
          <a:r>
            <a:rPr lang="en-US" cap="none" sz="1200" b="0" i="0" u="none" baseline="30000"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1+e</a:t>
          </a:r>
          <a:r>
            <a:rPr lang="en-US" cap="none" sz="1200" b="0" i="0" u="none" baseline="30000">
              <a:latin typeface="Arial"/>
              <a:ea typeface="Arial"/>
              <a:cs typeface="Arial"/>
            </a:rPr>
            <a:t>at+b</a:t>
          </a:r>
        </a:p>
      </cdr:txBody>
    </cdr:sp>
  </cdr:relSizeAnchor>
  <cdr:relSizeAnchor xmlns:cdr="http://schemas.openxmlformats.org/drawingml/2006/chartDrawing">
    <cdr:from>
      <cdr:x>0.57575</cdr:x>
      <cdr:y>0.246</cdr:y>
    </cdr:from>
    <cdr:to>
      <cdr:x>0.9185</cdr:x>
      <cdr:y>0.91375</cdr:y>
    </cdr:to>
    <cdr:sp>
      <cdr:nvSpPr>
        <cdr:cNvPr id="2" name="TextBox 2"/>
        <cdr:cNvSpPr txBox="1">
          <a:spLocks noChangeArrowheads="1"/>
        </cdr:cNvSpPr>
      </cdr:nvSpPr>
      <cdr:spPr>
        <a:xfrm>
          <a:off x="3095625" y="762000"/>
          <a:ext cx="1847850" cy="2085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75" b="0" i="1" u="none" baseline="0">
              <a:latin typeface="Arial"/>
              <a:ea typeface="Arial"/>
              <a:cs typeface="Arial"/>
            </a:rPr>
            <a:t>Parameters:
a= determines how quickly time acts (growth rate)
b= determines start
Note: for this plot a=1, b=0
</a:t>
          </a:r>
          <a:r>
            <a:rPr lang="en-US" cap="none" sz="1025" b="0" i="1" u="none" baseline="0">
              <a:latin typeface="Arial"/>
              <a:ea typeface="Arial"/>
              <a:cs typeface="Arial"/>
            </a:rPr>
            <a:t>
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8</xdr:row>
      <xdr:rowOff>28575</xdr:rowOff>
    </xdr:from>
    <xdr:to>
      <xdr:col>2</xdr:col>
      <xdr:colOff>485775</xdr:colOff>
      <xdr:row>9</xdr:row>
      <xdr:rowOff>9525</xdr:rowOff>
    </xdr:to>
    <xdr:graphicFrame>
      <xdr:nvGraphicFramePr>
        <xdr:cNvPr id="1" name="Chart 1"/>
        <xdr:cNvGraphicFramePr/>
      </xdr:nvGraphicFramePr>
      <xdr:xfrm>
        <a:off x="9525" y="1390650"/>
        <a:ext cx="5629275" cy="3152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57150</xdr:colOff>
      <xdr:row>8</xdr:row>
      <xdr:rowOff>28575</xdr:rowOff>
    </xdr:from>
    <xdr:to>
      <xdr:col>8</xdr:col>
      <xdr:colOff>209550</xdr:colOff>
      <xdr:row>8</xdr:row>
      <xdr:rowOff>3143250</xdr:rowOff>
    </xdr:to>
    <xdr:graphicFrame>
      <xdr:nvGraphicFramePr>
        <xdr:cNvPr id="2" name="Chart 2"/>
        <xdr:cNvGraphicFramePr/>
      </xdr:nvGraphicFramePr>
      <xdr:xfrm>
        <a:off x="6257925" y="1390650"/>
        <a:ext cx="5391150" cy="3124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13"/>
  <sheetViews>
    <sheetView tabSelected="1" workbookViewId="0" topLeftCell="A204">
      <selection activeCell="B52" sqref="B52"/>
    </sheetView>
  </sheetViews>
  <sheetFormatPr defaultColWidth="9.140625" defaultRowHeight="12.75"/>
  <cols>
    <col min="1" max="1" width="60.7109375" style="0" customWidth="1"/>
    <col min="2" max="2" width="16.57421875" style="0" bestFit="1" customWidth="1"/>
    <col min="3" max="28" width="15.7109375" style="0" customWidth="1"/>
  </cols>
  <sheetData>
    <row r="1" s="32" customFormat="1" ht="18">
      <c r="A1" s="38" t="s">
        <v>102</v>
      </c>
    </row>
    <row r="2" ht="12.75">
      <c r="A2" s="17" t="s">
        <v>103</v>
      </c>
    </row>
    <row r="3" ht="12.75">
      <c r="A3" s="17"/>
    </row>
    <row r="4" spans="1:2" ht="12.75">
      <c r="A4" s="17" t="s">
        <v>108</v>
      </c>
      <c r="B4" t="s">
        <v>113</v>
      </c>
    </row>
    <row r="5" spans="1:2" ht="12.75">
      <c r="A5" t="s">
        <v>2</v>
      </c>
      <c r="B5" s="5">
        <v>25600</v>
      </c>
    </row>
    <row r="6" spans="1:3" ht="12.75">
      <c r="A6" t="s">
        <v>4</v>
      </c>
      <c r="B6" s="1">
        <v>0.6</v>
      </c>
      <c r="C6" s="1"/>
    </row>
    <row r="7" spans="1:3" ht="12.75">
      <c r="A7" t="s">
        <v>3</v>
      </c>
      <c r="B7" s="1">
        <v>0.3</v>
      </c>
      <c r="C7" s="1"/>
    </row>
    <row r="8" spans="1:2" ht="12.75">
      <c r="A8" t="s">
        <v>1</v>
      </c>
      <c r="B8">
        <v>10</v>
      </c>
    </row>
    <row r="9" ht="249.75" customHeight="1"/>
    <row r="10" spans="1:3" ht="12.75">
      <c r="A10" t="s">
        <v>64</v>
      </c>
      <c r="B10">
        <v>1.2</v>
      </c>
      <c r="C10" t="str">
        <f>CONCATENATE("you want at+b, where t=0 to ",$B$8," years, to fall in the range {-10,10}")</f>
        <v>you want at+b, where t=0 to 10 years, to fall in the range {-10,10}</v>
      </c>
    </row>
    <row r="11" spans="1:3" ht="12" customHeight="1">
      <c r="A11" t="s">
        <v>65</v>
      </c>
      <c r="B11">
        <v>-4</v>
      </c>
      <c r="C11" t="s">
        <v>114</v>
      </c>
    </row>
    <row r="12" spans="1:2" ht="0.75" customHeight="1">
      <c r="A12" t="s">
        <v>68</v>
      </c>
      <c r="B12" t="s">
        <v>70</v>
      </c>
    </row>
    <row r="13" spans="1:22" ht="0.75" customHeight="1">
      <c r="A13" t="s">
        <v>69</v>
      </c>
      <c r="B13">
        <v>-10</v>
      </c>
      <c r="C13">
        <f>B13+1</f>
        <v>-9</v>
      </c>
      <c r="D13">
        <f aca="true" t="shared" si="0" ref="D13:V13">C13+1</f>
        <v>-8</v>
      </c>
      <c r="E13">
        <f t="shared" si="0"/>
        <v>-7</v>
      </c>
      <c r="F13">
        <f t="shared" si="0"/>
        <v>-6</v>
      </c>
      <c r="G13">
        <f t="shared" si="0"/>
        <v>-5</v>
      </c>
      <c r="H13">
        <f t="shared" si="0"/>
        <v>-4</v>
      </c>
      <c r="I13">
        <f t="shared" si="0"/>
        <v>-3</v>
      </c>
      <c r="J13">
        <f t="shared" si="0"/>
        <v>-2</v>
      </c>
      <c r="K13">
        <f t="shared" si="0"/>
        <v>-1</v>
      </c>
      <c r="L13">
        <f t="shared" si="0"/>
        <v>0</v>
      </c>
      <c r="M13">
        <f t="shared" si="0"/>
        <v>1</v>
      </c>
      <c r="N13">
        <f t="shared" si="0"/>
        <v>2</v>
      </c>
      <c r="O13">
        <f t="shared" si="0"/>
        <v>3</v>
      </c>
      <c r="P13">
        <f t="shared" si="0"/>
        <v>4</v>
      </c>
      <c r="Q13">
        <f t="shared" si="0"/>
        <v>5</v>
      </c>
      <c r="R13">
        <f t="shared" si="0"/>
        <v>6</v>
      </c>
      <c r="S13">
        <f t="shared" si="0"/>
        <v>7</v>
      </c>
      <c r="T13">
        <f t="shared" si="0"/>
        <v>8</v>
      </c>
      <c r="U13">
        <f t="shared" si="0"/>
        <v>9</v>
      </c>
      <c r="V13">
        <f t="shared" si="0"/>
        <v>10</v>
      </c>
    </row>
    <row r="14" spans="1:22" ht="0.75" customHeight="1">
      <c r="A14" t="s">
        <v>67</v>
      </c>
      <c r="B14">
        <f>EXP(B13)/(1+EXP(B13))</f>
        <v>4.5397868702434395E-05</v>
      </c>
      <c r="C14">
        <f aca="true" t="shared" si="1" ref="C14:V14">EXP(C13)/(1+EXP(C13))</f>
        <v>0.00012339457598623172</v>
      </c>
      <c r="D14">
        <f t="shared" si="1"/>
        <v>0.00033535013046647816</v>
      </c>
      <c r="E14">
        <f t="shared" si="1"/>
        <v>0.0009110511944006454</v>
      </c>
      <c r="F14">
        <f t="shared" si="1"/>
        <v>0.0024726231566347748</v>
      </c>
      <c r="G14">
        <f t="shared" si="1"/>
        <v>0.006692850924284856</v>
      </c>
      <c r="H14">
        <f t="shared" si="1"/>
        <v>0.017986209962091555</v>
      </c>
      <c r="I14">
        <f t="shared" si="1"/>
        <v>0.04742587317756679</v>
      </c>
      <c r="J14">
        <f t="shared" si="1"/>
        <v>0.11920292202211755</v>
      </c>
      <c r="K14">
        <f t="shared" si="1"/>
        <v>0.2689414213699951</v>
      </c>
      <c r="L14">
        <f t="shared" si="1"/>
        <v>0.5</v>
      </c>
      <c r="M14">
        <f t="shared" si="1"/>
        <v>0.7310585786300049</v>
      </c>
      <c r="N14">
        <f t="shared" si="1"/>
        <v>0.8807970779778824</v>
      </c>
      <c r="O14">
        <f t="shared" si="1"/>
        <v>0.9525741268224333</v>
      </c>
      <c r="P14">
        <f t="shared" si="1"/>
        <v>0.9820137900379085</v>
      </c>
      <c r="Q14">
        <f t="shared" si="1"/>
        <v>0.9933071490757152</v>
      </c>
      <c r="R14">
        <f t="shared" si="1"/>
        <v>0.9975273768433652</v>
      </c>
      <c r="S14">
        <f t="shared" si="1"/>
        <v>0.9990889488055994</v>
      </c>
      <c r="T14">
        <f t="shared" si="1"/>
        <v>0.9996646498695335</v>
      </c>
      <c r="U14">
        <f t="shared" si="1"/>
        <v>0.9998766054240138</v>
      </c>
      <c r="V14">
        <f t="shared" si="1"/>
        <v>0.9999546021312976</v>
      </c>
    </row>
    <row r="15" spans="1:28" ht="0.75" customHeight="1">
      <c r="A15" t="s">
        <v>63</v>
      </c>
      <c r="B15" s="2">
        <f>((EXP(1)^($B$8*$B$10)+EXP(1)^-$B$11)*(-1+EXP(1)^($B$10*(C30-1))))/((-1+EXP(1)^($B$8*$B$10))*(EXP(1)^-$B$11+EXP(1)^($B$10*(C30-1))))</f>
        <v>0</v>
      </c>
      <c r="C15" s="2">
        <f aca="true" t="shared" si="2" ref="C15:AB15">IF(B15=1,1,((EXP(1)^($B$8*$B$10)+EXP(1)^-$B$11)*(-1+EXP(1)^($B$10*C30)))/((-1+EXP(1)^($B$8*$B$10))*(EXP(1)^-$B$11+EXP(1)^($B$10*C30))))</f>
        <v>0.04007215024553885</v>
      </c>
      <c r="D15" s="2">
        <f t="shared" si="2"/>
        <v>0.15279484483547015</v>
      </c>
      <c r="E15" s="2">
        <f t="shared" si="2"/>
        <v>0.3904803389199405</v>
      </c>
      <c r="F15" s="2">
        <f t="shared" si="2"/>
        <v>0.6845299273648912</v>
      </c>
      <c r="G15" s="2">
        <f t="shared" si="2"/>
        <v>0.8789139426319085</v>
      </c>
      <c r="H15" s="2">
        <f t="shared" si="2"/>
        <v>0.960444916494286</v>
      </c>
      <c r="I15" s="2">
        <f t="shared" si="2"/>
        <v>0.9879868148526113</v>
      </c>
      <c r="J15" s="2">
        <f t="shared" si="2"/>
        <v>0.9965886082113761</v>
      </c>
      <c r="K15" s="2">
        <f t="shared" si="2"/>
        <v>0.999208309084931</v>
      </c>
      <c r="L15" s="2">
        <f t="shared" si="2"/>
        <v>1</v>
      </c>
      <c r="M15" s="2">
        <f t="shared" si="2"/>
        <v>1</v>
      </c>
      <c r="N15" s="2">
        <f t="shared" si="2"/>
        <v>1</v>
      </c>
      <c r="O15" s="2">
        <f t="shared" si="2"/>
        <v>1</v>
      </c>
      <c r="P15" s="2">
        <f t="shared" si="2"/>
        <v>1</v>
      </c>
      <c r="Q15" s="2">
        <f t="shared" si="2"/>
        <v>1</v>
      </c>
      <c r="R15" s="2">
        <f t="shared" si="2"/>
        <v>1</v>
      </c>
      <c r="S15" s="2">
        <f t="shared" si="2"/>
        <v>1</v>
      </c>
      <c r="T15" s="2">
        <f t="shared" si="2"/>
        <v>1</v>
      </c>
      <c r="U15" s="2">
        <f t="shared" si="2"/>
        <v>1</v>
      </c>
      <c r="V15" s="2">
        <f t="shared" si="2"/>
        <v>1</v>
      </c>
      <c r="W15" s="2">
        <f t="shared" si="2"/>
        <v>1</v>
      </c>
      <c r="X15" s="2">
        <f t="shared" si="2"/>
        <v>1</v>
      </c>
      <c r="Y15" s="2">
        <f t="shared" si="2"/>
        <v>1</v>
      </c>
      <c r="Z15" s="2">
        <f t="shared" si="2"/>
        <v>1</v>
      </c>
      <c r="AA15" s="2">
        <f t="shared" si="2"/>
        <v>1</v>
      </c>
      <c r="AB15" s="2">
        <f t="shared" si="2"/>
        <v>1</v>
      </c>
    </row>
    <row r="16" ht="12.75" customHeight="1"/>
    <row r="17" spans="1:2" ht="12.75" customHeight="1">
      <c r="A17" t="s">
        <v>7</v>
      </c>
      <c r="B17" s="4">
        <v>30</v>
      </c>
    </row>
    <row r="18" spans="1:2" ht="12.75" customHeight="1">
      <c r="A18" t="s">
        <v>10</v>
      </c>
      <c r="B18" s="4">
        <v>200</v>
      </c>
    </row>
    <row r="19" spans="1:2" ht="12.75">
      <c r="A19" t="s">
        <v>11</v>
      </c>
      <c r="B19" s="4">
        <v>100</v>
      </c>
    </row>
    <row r="20" spans="1:2" ht="12.75">
      <c r="A20" t="s">
        <v>9</v>
      </c>
      <c r="B20" s="4">
        <v>50</v>
      </c>
    </row>
    <row r="21" spans="1:2" ht="12.75">
      <c r="A21" t="s">
        <v>14</v>
      </c>
      <c r="B21" s="1">
        <v>0.02</v>
      </c>
    </row>
    <row r="22" spans="1:2" ht="12.75">
      <c r="A22" t="s">
        <v>13</v>
      </c>
      <c r="B22" s="1">
        <v>0.32</v>
      </c>
    </row>
    <row r="23" spans="1:3" ht="12.75">
      <c r="A23" t="s">
        <v>12</v>
      </c>
      <c r="B23" s="5">
        <v>5</v>
      </c>
      <c r="C23" t="s">
        <v>129</v>
      </c>
    </row>
    <row r="24" spans="1:2" ht="12.75">
      <c r="A24" t="s">
        <v>19</v>
      </c>
      <c r="B24" s="5">
        <v>5000</v>
      </c>
    </row>
    <row r="25" spans="1:2" ht="12.75">
      <c r="A25" t="s">
        <v>20</v>
      </c>
      <c r="B25" s="1">
        <v>0.65</v>
      </c>
    </row>
    <row r="26" spans="1:2" ht="12.75">
      <c r="A26" t="s">
        <v>31</v>
      </c>
      <c r="B26" s="1">
        <v>0.1</v>
      </c>
    </row>
    <row r="27" spans="1:2" s="6" customFormat="1" ht="12.75">
      <c r="A27" s="18" t="s">
        <v>46</v>
      </c>
      <c r="B27" s="19">
        <v>0.33</v>
      </c>
    </row>
    <row r="28" spans="1:2" s="6" customFormat="1" ht="12.75">
      <c r="A28" s="18"/>
      <c r="B28" s="19"/>
    </row>
    <row r="29" spans="1:3" s="6" customFormat="1" ht="12.75">
      <c r="A29" s="18"/>
      <c r="B29" s="19"/>
      <c r="C29" s="6" t="s">
        <v>0</v>
      </c>
    </row>
    <row r="30" spans="3:28" s="23" customFormat="1" ht="13.5" thickBot="1">
      <c r="C30" s="23">
        <v>1</v>
      </c>
      <c r="D30" s="23">
        <f>IF($B$8-C30&gt;0,C30+1,"")</f>
        <v>2</v>
      </c>
      <c r="E30" s="23">
        <f aca="true" t="shared" si="3" ref="E30:AB30">IF($B$8-D30&gt;0,D30+1,"")</f>
        <v>3</v>
      </c>
      <c r="F30" s="23">
        <f t="shared" si="3"/>
        <v>4</v>
      </c>
      <c r="G30" s="23">
        <f t="shared" si="3"/>
        <v>5</v>
      </c>
      <c r="H30" s="23">
        <f t="shared" si="3"/>
        <v>6</v>
      </c>
      <c r="I30" s="23">
        <f t="shared" si="3"/>
        <v>7</v>
      </c>
      <c r="J30" s="23">
        <f t="shared" si="3"/>
        <v>8</v>
      </c>
      <c r="K30" s="23">
        <f t="shared" si="3"/>
        <v>9</v>
      </c>
      <c r="L30" s="23">
        <f t="shared" si="3"/>
        <v>10</v>
      </c>
      <c r="M30" s="23">
        <f t="shared" si="3"/>
      </c>
      <c r="N30" s="23" t="e">
        <f t="shared" si="3"/>
        <v>#VALUE!</v>
      </c>
      <c r="O30" s="23" t="e">
        <f t="shared" si="3"/>
        <v>#VALUE!</v>
      </c>
      <c r="P30" s="23" t="e">
        <f t="shared" si="3"/>
        <v>#VALUE!</v>
      </c>
      <c r="Q30" s="23" t="e">
        <f t="shared" si="3"/>
        <v>#VALUE!</v>
      </c>
      <c r="R30" s="23" t="e">
        <f t="shared" si="3"/>
        <v>#VALUE!</v>
      </c>
      <c r="S30" s="23" t="e">
        <f t="shared" si="3"/>
        <v>#VALUE!</v>
      </c>
      <c r="T30" s="23" t="e">
        <f t="shared" si="3"/>
        <v>#VALUE!</v>
      </c>
      <c r="U30" s="23" t="e">
        <f t="shared" si="3"/>
        <v>#VALUE!</v>
      </c>
      <c r="V30" s="23" t="e">
        <f t="shared" si="3"/>
        <v>#VALUE!</v>
      </c>
      <c r="W30" s="23" t="e">
        <f t="shared" si="3"/>
        <v>#VALUE!</v>
      </c>
      <c r="X30" s="23" t="e">
        <f t="shared" si="3"/>
        <v>#VALUE!</v>
      </c>
      <c r="Y30" s="23" t="e">
        <f t="shared" si="3"/>
        <v>#VALUE!</v>
      </c>
      <c r="Z30" s="23" t="e">
        <f t="shared" si="3"/>
        <v>#VALUE!</v>
      </c>
      <c r="AA30" s="23" t="e">
        <f t="shared" si="3"/>
        <v>#VALUE!</v>
      </c>
      <c r="AB30" s="23" t="e">
        <f t="shared" si="3"/>
        <v>#VALUE!</v>
      </c>
    </row>
    <row r="31" spans="1:28" ht="13.5" thickTop="1">
      <c r="A31" t="s">
        <v>66</v>
      </c>
      <c r="C31" s="2">
        <f aca="true" t="shared" si="4" ref="C31:AB31">((EXP(1)^($B$8*$B$10)+EXP(1)^-$B$11)*(-1+EXP(1)^($B$10*C30)))/((-1+EXP(1)^($B$8*$B$10))*(EXP(1)^-$B$11+EXP(1)^($B$10*C30)))</f>
        <v>0.04007215024553885</v>
      </c>
      <c r="D31" s="2">
        <f t="shared" si="4"/>
        <v>0.15279484483547015</v>
      </c>
      <c r="E31" s="2">
        <f t="shared" si="4"/>
        <v>0.3904803389199405</v>
      </c>
      <c r="F31" s="2">
        <f t="shared" si="4"/>
        <v>0.6845299273648912</v>
      </c>
      <c r="G31" s="2">
        <f t="shared" si="4"/>
        <v>0.8789139426319085</v>
      </c>
      <c r="H31" s="2">
        <f t="shared" si="4"/>
        <v>0.960444916494286</v>
      </c>
      <c r="I31" s="2">
        <f t="shared" si="4"/>
        <v>0.9879868148526113</v>
      </c>
      <c r="J31" s="2">
        <f t="shared" si="4"/>
        <v>0.9965886082113761</v>
      </c>
      <c r="K31" s="2">
        <f t="shared" si="4"/>
        <v>0.999208309084931</v>
      </c>
      <c r="L31" s="2">
        <f t="shared" si="4"/>
        <v>1</v>
      </c>
      <c r="M31" s="2" t="e">
        <f t="shared" si="4"/>
        <v>#VALUE!</v>
      </c>
      <c r="N31" s="2" t="e">
        <f t="shared" si="4"/>
        <v>#VALUE!</v>
      </c>
      <c r="O31" s="2" t="e">
        <f t="shared" si="4"/>
        <v>#VALUE!</v>
      </c>
      <c r="P31" s="2" t="e">
        <f t="shared" si="4"/>
        <v>#VALUE!</v>
      </c>
      <c r="Q31" s="2" t="e">
        <f t="shared" si="4"/>
        <v>#VALUE!</v>
      </c>
      <c r="R31" s="2" t="e">
        <f t="shared" si="4"/>
        <v>#VALUE!</v>
      </c>
      <c r="S31" s="2" t="e">
        <f t="shared" si="4"/>
        <v>#VALUE!</v>
      </c>
      <c r="T31" s="2" t="e">
        <f t="shared" si="4"/>
        <v>#VALUE!</v>
      </c>
      <c r="U31" s="2" t="e">
        <f t="shared" si="4"/>
        <v>#VALUE!</v>
      </c>
      <c r="V31" s="2" t="e">
        <f t="shared" si="4"/>
        <v>#VALUE!</v>
      </c>
      <c r="W31" s="2" t="e">
        <f t="shared" si="4"/>
        <v>#VALUE!</v>
      </c>
      <c r="X31" s="2" t="e">
        <f t="shared" si="4"/>
        <v>#VALUE!</v>
      </c>
      <c r="Y31" s="2" t="e">
        <f t="shared" si="4"/>
        <v>#VALUE!</v>
      </c>
      <c r="Z31" s="2" t="e">
        <f t="shared" si="4"/>
        <v>#VALUE!</v>
      </c>
      <c r="AA31" s="2" t="e">
        <f t="shared" si="4"/>
        <v>#VALUE!</v>
      </c>
      <c r="AB31" s="2" t="e">
        <f t="shared" si="4"/>
        <v>#VALUE!</v>
      </c>
    </row>
    <row r="32" spans="1:28" ht="12.75">
      <c r="A32" t="s">
        <v>115</v>
      </c>
      <c r="C32" s="2">
        <f>C31*$B$7*$B$6</f>
        <v>0.007212987044196992</v>
      </c>
      <c r="D32" s="2">
        <f aca="true" t="shared" si="5" ref="D32:AB32">D31*$B$7*$B$6</f>
        <v>0.02750307207038463</v>
      </c>
      <c r="E32" s="2">
        <f t="shared" si="5"/>
        <v>0.07028646100558929</v>
      </c>
      <c r="F32" s="2">
        <f t="shared" si="5"/>
        <v>0.12321538692568039</v>
      </c>
      <c r="G32" s="2">
        <f t="shared" si="5"/>
        <v>0.15820450967374353</v>
      </c>
      <c r="H32" s="2">
        <f t="shared" si="5"/>
        <v>0.17288008496897148</v>
      </c>
      <c r="I32" s="2">
        <f t="shared" si="5"/>
        <v>0.17783762667347003</v>
      </c>
      <c r="J32" s="2">
        <f t="shared" si="5"/>
        <v>0.17938594947804767</v>
      </c>
      <c r="K32" s="2">
        <f t="shared" si="5"/>
        <v>0.17985749563528755</v>
      </c>
      <c r="L32" s="2">
        <f t="shared" si="5"/>
        <v>0.18</v>
      </c>
      <c r="M32" s="2" t="e">
        <f t="shared" si="5"/>
        <v>#VALUE!</v>
      </c>
      <c r="N32" s="2" t="e">
        <f t="shared" si="5"/>
        <v>#VALUE!</v>
      </c>
      <c r="O32" s="2" t="e">
        <f t="shared" si="5"/>
        <v>#VALUE!</v>
      </c>
      <c r="P32" s="2" t="e">
        <f t="shared" si="5"/>
        <v>#VALUE!</v>
      </c>
      <c r="Q32" s="2" t="e">
        <f t="shared" si="5"/>
        <v>#VALUE!</v>
      </c>
      <c r="R32" s="2" t="e">
        <f t="shared" si="5"/>
        <v>#VALUE!</v>
      </c>
      <c r="S32" s="2" t="e">
        <f t="shared" si="5"/>
        <v>#VALUE!</v>
      </c>
      <c r="T32" s="2" t="e">
        <f t="shared" si="5"/>
        <v>#VALUE!</v>
      </c>
      <c r="U32" s="2" t="e">
        <f t="shared" si="5"/>
        <v>#VALUE!</v>
      </c>
      <c r="V32" s="2" t="e">
        <f t="shared" si="5"/>
        <v>#VALUE!</v>
      </c>
      <c r="W32" s="2" t="e">
        <f t="shared" si="5"/>
        <v>#VALUE!</v>
      </c>
      <c r="X32" s="2" t="e">
        <f t="shared" si="5"/>
        <v>#VALUE!</v>
      </c>
      <c r="Y32" s="2" t="e">
        <f t="shared" si="5"/>
        <v>#VALUE!</v>
      </c>
      <c r="Z32" s="2" t="e">
        <f t="shared" si="5"/>
        <v>#VALUE!</v>
      </c>
      <c r="AA32" s="2" t="e">
        <f t="shared" si="5"/>
        <v>#VALUE!</v>
      </c>
      <c r="AB32" s="2" t="e">
        <f t="shared" si="5"/>
        <v>#VALUE!</v>
      </c>
    </row>
    <row r="33" spans="1:28" ht="12.75">
      <c r="A33" t="s">
        <v>5</v>
      </c>
      <c r="C33" s="2">
        <f>C31*$B$7</f>
        <v>0.012021645073661654</v>
      </c>
      <c r="D33" s="2">
        <f aca="true" t="shared" si="6" ref="D33:AB33">D31*$B$7</f>
        <v>0.04583845345064105</v>
      </c>
      <c r="E33" s="2">
        <f t="shared" si="6"/>
        <v>0.11714410167598215</v>
      </c>
      <c r="F33" s="2">
        <f t="shared" si="6"/>
        <v>0.20535897820946733</v>
      </c>
      <c r="G33" s="2">
        <f t="shared" si="6"/>
        <v>0.26367418278957255</v>
      </c>
      <c r="H33" s="2">
        <f t="shared" si="6"/>
        <v>0.2881334749482858</v>
      </c>
      <c r="I33" s="2">
        <f t="shared" si="6"/>
        <v>0.2963960444557834</v>
      </c>
      <c r="J33" s="2">
        <f t="shared" si="6"/>
        <v>0.2989765824634128</v>
      </c>
      <c r="K33" s="2">
        <f t="shared" si="6"/>
        <v>0.2997624927254793</v>
      </c>
      <c r="L33" s="2">
        <f t="shared" si="6"/>
        <v>0.3</v>
      </c>
      <c r="M33" s="2" t="e">
        <f t="shared" si="6"/>
        <v>#VALUE!</v>
      </c>
      <c r="N33" s="2" t="e">
        <f t="shared" si="6"/>
        <v>#VALUE!</v>
      </c>
      <c r="O33" s="2" t="e">
        <f t="shared" si="6"/>
        <v>#VALUE!</v>
      </c>
      <c r="P33" s="2" t="e">
        <f t="shared" si="6"/>
        <v>#VALUE!</v>
      </c>
      <c r="Q33" s="2" t="e">
        <f t="shared" si="6"/>
        <v>#VALUE!</v>
      </c>
      <c r="R33" s="2" t="e">
        <f t="shared" si="6"/>
        <v>#VALUE!</v>
      </c>
      <c r="S33" s="2" t="e">
        <f t="shared" si="6"/>
        <v>#VALUE!</v>
      </c>
      <c r="T33" s="2" t="e">
        <f t="shared" si="6"/>
        <v>#VALUE!</v>
      </c>
      <c r="U33" s="2" t="e">
        <f t="shared" si="6"/>
        <v>#VALUE!</v>
      </c>
      <c r="V33" s="2" t="e">
        <f t="shared" si="6"/>
        <v>#VALUE!</v>
      </c>
      <c r="W33" s="2" t="e">
        <f t="shared" si="6"/>
        <v>#VALUE!</v>
      </c>
      <c r="X33" s="2" t="e">
        <f t="shared" si="6"/>
        <v>#VALUE!</v>
      </c>
      <c r="Y33" s="2" t="e">
        <f t="shared" si="6"/>
        <v>#VALUE!</v>
      </c>
      <c r="Z33" s="2" t="e">
        <f t="shared" si="6"/>
        <v>#VALUE!</v>
      </c>
      <c r="AA33" s="2" t="e">
        <f t="shared" si="6"/>
        <v>#VALUE!</v>
      </c>
      <c r="AB33" s="2" t="e">
        <f t="shared" si="6"/>
        <v>#VALUE!</v>
      </c>
    </row>
    <row r="34" spans="1:28" ht="12.75">
      <c r="A34" t="s">
        <v>116</v>
      </c>
      <c r="C34">
        <v>0</v>
      </c>
      <c r="D34" s="3">
        <f>C35</f>
        <v>184.652468331443</v>
      </c>
      <c r="E34" s="3">
        <f aca="true" t="shared" si="7" ref="E34:AB34">D35</f>
        <v>704.0786450018464</v>
      </c>
      <c r="F34" s="3">
        <f t="shared" si="7"/>
        <v>1799.3334017430857</v>
      </c>
      <c r="G34" s="3">
        <f t="shared" si="7"/>
        <v>3154.313905297418</v>
      </c>
      <c r="H34" s="3">
        <f t="shared" si="7"/>
        <v>4050.035447647834</v>
      </c>
      <c r="I34" s="3">
        <f t="shared" si="7"/>
        <v>4425.73017520567</v>
      </c>
      <c r="J34" s="3">
        <f t="shared" si="7"/>
        <v>4552.6432428408325</v>
      </c>
      <c r="K34" s="3">
        <f t="shared" si="7"/>
        <v>4592.28030663802</v>
      </c>
      <c r="L34" s="3">
        <f t="shared" si="7"/>
        <v>4604.351888263362</v>
      </c>
      <c r="M34" s="3">
        <f t="shared" si="7"/>
        <v>4608</v>
      </c>
      <c r="N34" s="3" t="e">
        <f t="shared" si="7"/>
        <v>#VALUE!</v>
      </c>
      <c r="O34" s="3" t="e">
        <f t="shared" si="7"/>
        <v>#VALUE!</v>
      </c>
      <c r="P34" s="3" t="e">
        <f t="shared" si="7"/>
        <v>#VALUE!</v>
      </c>
      <c r="Q34" s="3" t="e">
        <f t="shared" si="7"/>
        <v>#VALUE!</v>
      </c>
      <c r="R34" s="3" t="e">
        <f t="shared" si="7"/>
        <v>#VALUE!</v>
      </c>
      <c r="S34" s="3" t="e">
        <f t="shared" si="7"/>
        <v>#VALUE!</v>
      </c>
      <c r="T34" s="3" t="e">
        <f t="shared" si="7"/>
        <v>#VALUE!</v>
      </c>
      <c r="U34" s="3" t="e">
        <f t="shared" si="7"/>
        <v>#VALUE!</v>
      </c>
      <c r="V34" s="3" t="e">
        <f t="shared" si="7"/>
        <v>#VALUE!</v>
      </c>
      <c r="W34" s="3" t="e">
        <f t="shared" si="7"/>
        <v>#VALUE!</v>
      </c>
      <c r="X34" s="3" t="e">
        <f t="shared" si="7"/>
        <v>#VALUE!</v>
      </c>
      <c r="Y34" s="3" t="e">
        <f t="shared" si="7"/>
        <v>#VALUE!</v>
      </c>
      <c r="Z34" s="3" t="e">
        <f t="shared" si="7"/>
        <v>#VALUE!</v>
      </c>
      <c r="AA34" s="3" t="e">
        <f t="shared" si="7"/>
        <v>#VALUE!</v>
      </c>
      <c r="AB34" s="3" t="e">
        <f t="shared" si="7"/>
        <v>#VALUE!</v>
      </c>
    </row>
    <row r="35" spans="1:28" ht="12.75">
      <c r="A35" t="s">
        <v>117</v>
      </c>
      <c r="C35" s="3">
        <f>C32*$B$5</f>
        <v>184.652468331443</v>
      </c>
      <c r="D35" s="3">
        <f aca="true" t="shared" si="8" ref="D35:AB35">D32*$B$5</f>
        <v>704.0786450018464</v>
      </c>
      <c r="E35" s="3">
        <f t="shared" si="8"/>
        <v>1799.3334017430857</v>
      </c>
      <c r="F35" s="3">
        <f t="shared" si="8"/>
        <v>3154.313905297418</v>
      </c>
      <c r="G35" s="3">
        <f t="shared" si="8"/>
        <v>4050.035447647834</v>
      </c>
      <c r="H35" s="3">
        <f t="shared" si="8"/>
        <v>4425.73017520567</v>
      </c>
      <c r="I35" s="3">
        <f t="shared" si="8"/>
        <v>4552.6432428408325</v>
      </c>
      <c r="J35" s="3">
        <f t="shared" si="8"/>
        <v>4592.28030663802</v>
      </c>
      <c r="K35" s="3">
        <f t="shared" si="8"/>
        <v>4604.351888263362</v>
      </c>
      <c r="L35" s="3">
        <f t="shared" si="8"/>
        <v>4608</v>
      </c>
      <c r="M35" s="3" t="e">
        <f t="shared" si="8"/>
        <v>#VALUE!</v>
      </c>
      <c r="N35" s="3" t="e">
        <f t="shared" si="8"/>
        <v>#VALUE!</v>
      </c>
      <c r="O35" s="3" t="e">
        <f t="shared" si="8"/>
        <v>#VALUE!</v>
      </c>
      <c r="P35" s="3" t="e">
        <f t="shared" si="8"/>
        <v>#VALUE!</v>
      </c>
      <c r="Q35" s="3" t="e">
        <f t="shared" si="8"/>
        <v>#VALUE!</v>
      </c>
      <c r="R35" s="3" t="e">
        <f t="shared" si="8"/>
        <v>#VALUE!</v>
      </c>
      <c r="S35" s="3" t="e">
        <f t="shared" si="8"/>
        <v>#VALUE!</v>
      </c>
      <c r="T35" s="3" t="e">
        <f t="shared" si="8"/>
        <v>#VALUE!</v>
      </c>
      <c r="U35" s="3" t="e">
        <f t="shared" si="8"/>
        <v>#VALUE!</v>
      </c>
      <c r="V35" s="3" t="e">
        <f t="shared" si="8"/>
        <v>#VALUE!</v>
      </c>
      <c r="W35" s="3" t="e">
        <f t="shared" si="8"/>
        <v>#VALUE!</v>
      </c>
      <c r="X35" s="3" t="e">
        <f t="shared" si="8"/>
        <v>#VALUE!</v>
      </c>
      <c r="Y35" s="3" t="e">
        <f t="shared" si="8"/>
        <v>#VALUE!</v>
      </c>
      <c r="Z35" s="3" t="e">
        <f t="shared" si="8"/>
        <v>#VALUE!</v>
      </c>
      <c r="AA35" s="3" t="e">
        <f t="shared" si="8"/>
        <v>#VALUE!</v>
      </c>
      <c r="AB35" s="3" t="e">
        <f t="shared" si="8"/>
        <v>#VALUE!</v>
      </c>
    </row>
    <row r="36" spans="1:28" ht="12.75">
      <c r="A36" t="s">
        <v>118</v>
      </c>
      <c r="C36" s="3">
        <f aca="true" t="shared" si="9" ref="C36:AB36">(C35+C34)/2</f>
        <v>92.3262341657215</v>
      </c>
      <c r="D36" s="3">
        <f t="shared" si="9"/>
        <v>444.3655566666447</v>
      </c>
      <c r="E36" s="3">
        <f t="shared" si="9"/>
        <v>1251.706023372466</v>
      </c>
      <c r="F36" s="3">
        <f t="shared" si="9"/>
        <v>2476.823653520252</v>
      </c>
      <c r="G36" s="3">
        <f t="shared" si="9"/>
        <v>3602.174676472626</v>
      </c>
      <c r="H36" s="3">
        <f t="shared" si="9"/>
        <v>4237.882811426753</v>
      </c>
      <c r="I36" s="3">
        <f t="shared" si="9"/>
        <v>4489.186709023252</v>
      </c>
      <c r="J36" s="3">
        <f t="shared" si="9"/>
        <v>4572.461774739426</v>
      </c>
      <c r="K36" s="3">
        <f t="shared" si="9"/>
        <v>4598.316097450691</v>
      </c>
      <c r="L36" s="3">
        <f t="shared" si="9"/>
        <v>4606.175944131681</v>
      </c>
      <c r="M36" s="3" t="e">
        <f t="shared" si="9"/>
        <v>#VALUE!</v>
      </c>
      <c r="N36" s="3" t="e">
        <f t="shared" si="9"/>
        <v>#VALUE!</v>
      </c>
      <c r="O36" s="3" t="e">
        <f t="shared" si="9"/>
        <v>#VALUE!</v>
      </c>
      <c r="P36" s="3" t="e">
        <f t="shared" si="9"/>
        <v>#VALUE!</v>
      </c>
      <c r="Q36" s="3" t="e">
        <f t="shared" si="9"/>
        <v>#VALUE!</v>
      </c>
      <c r="R36" s="3" t="e">
        <f t="shared" si="9"/>
        <v>#VALUE!</v>
      </c>
      <c r="S36" s="3" t="e">
        <f t="shared" si="9"/>
        <v>#VALUE!</v>
      </c>
      <c r="T36" s="3" t="e">
        <f t="shared" si="9"/>
        <v>#VALUE!</v>
      </c>
      <c r="U36" s="3" t="e">
        <f t="shared" si="9"/>
        <v>#VALUE!</v>
      </c>
      <c r="V36" s="3" t="e">
        <f t="shared" si="9"/>
        <v>#VALUE!</v>
      </c>
      <c r="W36" s="3" t="e">
        <f t="shared" si="9"/>
        <v>#VALUE!</v>
      </c>
      <c r="X36" s="3" t="e">
        <f t="shared" si="9"/>
        <v>#VALUE!</v>
      </c>
      <c r="Y36" s="3" t="e">
        <f t="shared" si="9"/>
        <v>#VALUE!</v>
      </c>
      <c r="Z36" s="3" t="e">
        <f t="shared" si="9"/>
        <v>#VALUE!</v>
      </c>
      <c r="AA36" s="3" t="e">
        <f t="shared" si="9"/>
        <v>#VALUE!</v>
      </c>
      <c r="AB36" s="3" t="e">
        <f t="shared" si="9"/>
        <v>#VALUE!</v>
      </c>
    </row>
    <row r="37" spans="1:28" ht="12.75">
      <c r="A37" t="s">
        <v>119</v>
      </c>
      <c r="C37" s="3">
        <f>CEILING(C35/$B$24,1)</f>
        <v>1</v>
      </c>
      <c r="D37" s="3">
        <f>CEILING(D35/$B$24,1)-CEILING(C35/$B$24,1)</f>
        <v>0</v>
      </c>
      <c r="E37" s="3">
        <f aca="true" t="shared" si="10" ref="E37:AB37">CEILING(E35/$B$24,1)-CEILING(D35/$B$24,1)</f>
        <v>0</v>
      </c>
      <c r="F37" s="3">
        <f t="shared" si="10"/>
        <v>0</v>
      </c>
      <c r="G37" s="3">
        <f t="shared" si="10"/>
        <v>0</v>
      </c>
      <c r="H37" s="3">
        <f t="shared" si="10"/>
        <v>0</v>
      </c>
      <c r="I37" s="3">
        <f t="shared" si="10"/>
        <v>0</v>
      </c>
      <c r="J37" s="3">
        <f t="shared" si="10"/>
        <v>0</v>
      </c>
      <c r="K37" s="3">
        <f t="shared" si="10"/>
        <v>0</v>
      </c>
      <c r="L37" s="3">
        <f t="shared" si="10"/>
        <v>0</v>
      </c>
      <c r="M37" s="3" t="e">
        <f t="shared" si="10"/>
        <v>#VALUE!</v>
      </c>
      <c r="N37" s="3" t="e">
        <f t="shared" si="10"/>
        <v>#VALUE!</v>
      </c>
      <c r="O37" s="3" t="e">
        <f t="shared" si="10"/>
        <v>#VALUE!</v>
      </c>
      <c r="P37" s="3" t="e">
        <f t="shared" si="10"/>
        <v>#VALUE!</v>
      </c>
      <c r="Q37" s="3" t="e">
        <f t="shared" si="10"/>
        <v>#VALUE!</v>
      </c>
      <c r="R37" s="3" t="e">
        <f t="shared" si="10"/>
        <v>#VALUE!</v>
      </c>
      <c r="S37" s="3" t="e">
        <f t="shared" si="10"/>
        <v>#VALUE!</v>
      </c>
      <c r="T37" s="3" t="e">
        <f t="shared" si="10"/>
        <v>#VALUE!</v>
      </c>
      <c r="U37" s="3" t="e">
        <f t="shared" si="10"/>
        <v>#VALUE!</v>
      </c>
      <c r="V37" s="3" t="e">
        <f t="shared" si="10"/>
        <v>#VALUE!</v>
      </c>
      <c r="W37" s="3" t="e">
        <f t="shared" si="10"/>
        <v>#VALUE!</v>
      </c>
      <c r="X37" s="3" t="e">
        <f t="shared" si="10"/>
        <v>#VALUE!</v>
      </c>
      <c r="Y37" s="3" t="e">
        <f t="shared" si="10"/>
        <v>#VALUE!</v>
      </c>
      <c r="Z37" s="3" t="e">
        <f t="shared" si="10"/>
        <v>#VALUE!</v>
      </c>
      <c r="AA37" s="3" t="e">
        <f t="shared" si="10"/>
        <v>#VALUE!</v>
      </c>
      <c r="AB37" s="3" t="e">
        <f t="shared" si="10"/>
        <v>#VALUE!</v>
      </c>
    </row>
    <row r="38" spans="3:28" ht="12.75"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</row>
    <row r="39" ht="12.75">
      <c r="A39" s="6" t="s">
        <v>6</v>
      </c>
    </row>
    <row r="40" spans="1:28" ht="12.75">
      <c r="A40" t="s">
        <v>8</v>
      </c>
      <c r="C40" s="4">
        <f aca="true" t="shared" si="11" ref="C40:AB40">C36*$B$17*12*(1+$B$21)^(C30-1)</f>
        <v>33237.44429965974</v>
      </c>
      <c r="D40" s="4">
        <f t="shared" si="11"/>
        <v>163171.03240799194</v>
      </c>
      <c r="E40" s="4">
        <f t="shared" si="11"/>
        <v>468818.98081801686</v>
      </c>
      <c r="F40" s="4">
        <f t="shared" si="11"/>
        <v>946233.0272537709</v>
      </c>
      <c r="G40" s="4">
        <f t="shared" si="11"/>
        <v>1403679.4976705636</v>
      </c>
      <c r="H40" s="4">
        <f t="shared" si="11"/>
        <v>1684427.4209907085</v>
      </c>
      <c r="I40" s="4">
        <f t="shared" si="11"/>
        <v>1819999.211314111</v>
      </c>
      <c r="J40" s="4">
        <f t="shared" si="11"/>
        <v>1890835.6703462529</v>
      </c>
      <c r="K40" s="4">
        <f t="shared" si="11"/>
        <v>1939557.6692610588</v>
      </c>
      <c r="L40" s="4">
        <f t="shared" si="11"/>
        <v>1981730.390615506</v>
      </c>
      <c r="M40" s="4" t="e">
        <f t="shared" si="11"/>
        <v>#VALUE!</v>
      </c>
      <c r="N40" s="4" t="e">
        <f t="shared" si="11"/>
        <v>#VALUE!</v>
      </c>
      <c r="O40" s="4" t="e">
        <f t="shared" si="11"/>
        <v>#VALUE!</v>
      </c>
      <c r="P40" s="4" t="e">
        <f t="shared" si="11"/>
        <v>#VALUE!</v>
      </c>
      <c r="Q40" s="4" t="e">
        <f t="shared" si="11"/>
        <v>#VALUE!</v>
      </c>
      <c r="R40" s="4" t="e">
        <f t="shared" si="11"/>
        <v>#VALUE!</v>
      </c>
      <c r="S40" s="4" t="e">
        <f t="shared" si="11"/>
        <v>#VALUE!</v>
      </c>
      <c r="T40" s="4" t="e">
        <f t="shared" si="11"/>
        <v>#VALUE!</v>
      </c>
      <c r="U40" s="4" t="e">
        <f t="shared" si="11"/>
        <v>#VALUE!</v>
      </c>
      <c r="V40" s="4" t="e">
        <f t="shared" si="11"/>
        <v>#VALUE!</v>
      </c>
      <c r="W40" s="4" t="e">
        <f t="shared" si="11"/>
        <v>#VALUE!</v>
      </c>
      <c r="X40" s="4" t="e">
        <f t="shared" si="11"/>
        <v>#VALUE!</v>
      </c>
      <c r="Y40" s="4" t="e">
        <f t="shared" si="11"/>
        <v>#VALUE!</v>
      </c>
      <c r="Z40" s="4" t="e">
        <f t="shared" si="11"/>
        <v>#VALUE!</v>
      </c>
      <c r="AA40" s="4" t="e">
        <f t="shared" si="11"/>
        <v>#VALUE!</v>
      </c>
      <c r="AB40" s="4" t="e">
        <f t="shared" si="11"/>
        <v>#VALUE!</v>
      </c>
    </row>
    <row r="41" spans="1:28" ht="12.75">
      <c r="A41" t="s">
        <v>36</v>
      </c>
      <c r="C41" s="4">
        <f>(C35-0)*$B$18*(1+$B$21)^(C30-1)*$B$25^(C30-1)</f>
        <v>36930.4936662886</v>
      </c>
      <c r="D41" s="4">
        <f aca="true" t="shared" si="12" ref="D41:AB41">(D35-C35)*$B$18*(1+$B$21)^(D30-1)*$B$25^(D30-1)</f>
        <v>68875.91102649551</v>
      </c>
      <c r="E41" s="4">
        <f t="shared" si="12"/>
        <v>96288.00763319798</v>
      </c>
      <c r="F41" s="4">
        <f t="shared" si="12"/>
        <v>78977.54455060755</v>
      </c>
      <c r="G41" s="4">
        <f t="shared" si="12"/>
        <v>34614.42554451747</v>
      </c>
      <c r="H41" s="4">
        <f t="shared" si="12"/>
        <v>9625.709217712163</v>
      </c>
      <c r="I41" s="4">
        <f t="shared" si="12"/>
        <v>2155.844874931462</v>
      </c>
      <c r="J41" s="4">
        <f t="shared" si="12"/>
        <v>446.4020395659078</v>
      </c>
      <c r="K41" s="4">
        <f t="shared" si="12"/>
        <v>90.13685445419097</v>
      </c>
      <c r="L41" s="4">
        <f t="shared" si="12"/>
        <v>18.06008886800099</v>
      </c>
      <c r="M41" s="4" t="e">
        <f t="shared" si="12"/>
        <v>#VALUE!</v>
      </c>
      <c r="N41" s="4" t="e">
        <f t="shared" si="12"/>
        <v>#VALUE!</v>
      </c>
      <c r="O41" s="4" t="e">
        <f t="shared" si="12"/>
        <v>#VALUE!</v>
      </c>
      <c r="P41" s="4" t="e">
        <f t="shared" si="12"/>
        <v>#VALUE!</v>
      </c>
      <c r="Q41" s="4" t="e">
        <f t="shared" si="12"/>
        <v>#VALUE!</v>
      </c>
      <c r="R41" s="4" t="e">
        <f t="shared" si="12"/>
        <v>#VALUE!</v>
      </c>
      <c r="S41" s="4" t="e">
        <f t="shared" si="12"/>
        <v>#VALUE!</v>
      </c>
      <c r="T41" s="4" t="e">
        <f t="shared" si="12"/>
        <v>#VALUE!</v>
      </c>
      <c r="U41" s="4" t="e">
        <f t="shared" si="12"/>
        <v>#VALUE!</v>
      </c>
      <c r="V41" s="4" t="e">
        <f t="shared" si="12"/>
        <v>#VALUE!</v>
      </c>
      <c r="W41" s="4" t="e">
        <f t="shared" si="12"/>
        <v>#VALUE!</v>
      </c>
      <c r="X41" s="4" t="e">
        <f t="shared" si="12"/>
        <v>#VALUE!</v>
      </c>
      <c r="Y41" s="4" t="e">
        <f t="shared" si="12"/>
        <v>#VALUE!</v>
      </c>
      <c r="Z41" s="4" t="e">
        <f t="shared" si="12"/>
        <v>#VALUE!</v>
      </c>
      <c r="AA41" s="4" t="e">
        <f t="shared" si="12"/>
        <v>#VALUE!</v>
      </c>
      <c r="AB41" s="4" t="e">
        <f t="shared" si="12"/>
        <v>#VALUE!</v>
      </c>
    </row>
    <row r="42" spans="1:28" ht="12.75">
      <c r="A42" t="s">
        <v>37</v>
      </c>
      <c r="C42" s="4">
        <f>(C35-0)*$B$19*(1+$B$21)^(C30-1)*$B$25^(C30-1)</f>
        <v>18465.2468331443</v>
      </c>
      <c r="D42" s="4">
        <f aca="true" t="shared" si="13" ref="D42:AB42">(D35-C35)*$B$19*(1+$B$21)^(D30-1)*$B$25^(D30-1)</f>
        <v>34437.955513247754</v>
      </c>
      <c r="E42" s="4">
        <f t="shared" si="13"/>
        <v>48144.00381659899</v>
      </c>
      <c r="F42" s="4">
        <f t="shared" si="13"/>
        <v>39488.772275303774</v>
      </c>
      <c r="G42" s="4">
        <f t="shared" si="13"/>
        <v>17307.212772258736</v>
      </c>
      <c r="H42" s="4">
        <f t="shared" si="13"/>
        <v>4812.8546088560815</v>
      </c>
      <c r="I42" s="4">
        <f t="shared" si="13"/>
        <v>1077.922437465731</v>
      </c>
      <c r="J42" s="4">
        <f t="shared" si="13"/>
        <v>223.2010197829539</v>
      </c>
      <c r="K42" s="4">
        <f t="shared" si="13"/>
        <v>45.06842722709548</v>
      </c>
      <c r="L42" s="4">
        <f t="shared" si="13"/>
        <v>9.030044434000494</v>
      </c>
      <c r="M42" s="4" t="e">
        <f t="shared" si="13"/>
        <v>#VALUE!</v>
      </c>
      <c r="N42" s="4" t="e">
        <f t="shared" si="13"/>
        <v>#VALUE!</v>
      </c>
      <c r="O42" s="4" t="e">
        <f t="shared" si="13"/>
        <v>#VALUE!</v>
      </c>
      <c r="P42" s="4" t="e">
        <f t="shared" si="13"/>
        <v>#VALUE!</v>
      </c>
      <c r="Q42" s="4" t="e">
        <f t="shared" si="13"/>
        <v>#VALUE!</v>
      </c>
      <c r="R42" s="4" t="e">
        <f t="shared" si="13"/>
        <v>#VALUE!</v>
      </c>
      <c r="S42" s="4" t="e">
        <f t="shared" si="13"/>
        <v>#VALUE!</v>
      </c>
      <c r="T42" s="4" t="e">
        <f t="shared" si="13"/>
        <v>#VALUE!</v>
      </c>
      <c r="U42" s="4" t="e">
        <f t="shared" si="13"/>
        <v>#VALUE!</v>
      </c>
      <c r="V42" s="4" t="e">
        <f t="shared" si="13"/>
        <v>#VALUE!</v>
      </c>
      <c r="W42" s="4" t="e">
        <f t="shared" si="13"/>
        <v>#VALUE!</v>
      </c>
      <c r="X42" s="4" t="e">
        <f t="shared" si="13"/>
        <v>#VALUE!</v>
      </c>
      <c r="Y42" s="4" t="e">
        <f t="shared" si="13"/>
        <v>#VALUE!</v>
      </c>
      <c r="Z42" s="4" t="e">
        <f t="shared" si="13"/>
        <v>#VALUE!</v>
      </c>
      <c r="AA42" s="4" t="e">
        <f t="shared" si="13"/>
        <v>#VALUE!</v>
      </c>
      <c r="AB42" s="4" t="e">
        <f t="shared" si="13"/>
        <v>#VALUE!</v>
      </c>
    </row>
    <row r="43" spans="1:28" s="10" customFormat="1" ht="12.75">
      <c r="A43" s="10" t="s">
        <v>38</v>
      </c>
      <c r="C43" s="11">
        <f>(C35-0)*$B$20*(1+$B$21)^(C30-1)</f>
        <v>9232.62341657215</v>
      </c>
      <c r="D43" s="11">
        <f aca="true" t="shared" si="14" ref="D43:AB43">(D35-C35)*$B$20*(1+$B$21)^(D30-1)</f>
        <v>26490.73501019058</v>
      </c>
      <c r="E43" s="11">
        <f t="shared" si="14"/>
        <v>56975.152445679276</v>
      </c>
      <c r="F43" s="11">
        <f t="shared" si="14"/>
        <v>71895.80751079429</v>
      </c>
      <c r="G43" s="11">
        <f t="shared" si="14"/>
        <v>48477.890192244624</v>
      </c>
      <c r="H43" s="11">
        <f t="shared" si="14"/>
        <v>20739.86682800303</v>
      </c>
      <c r="I43" s="11">
        <f t="shared" si="14"/>
        <v>7146.236364211508</v>
      </c>
      <c r="J43" s="11">
        <f t="shared" si="14"/>
        <v>2276.5263545764824</v>
      </c>
      <c r="K43" s="11">
        <f t="shared" si="14"/>
        <v>707.1890927432927</v>
      </c>
      <c r="L43" s="11">
        <f t="shared" si="14"/>
        <v>217.9915612980183</v>
      </c>
      <c r="M43" s="11" t="e">
        <f t="shared" si="14"/>
        <v>#VALUE!</v>
      </c>
      <c r="N43" s="11" t="e">
        <f t="shared" si="14"/>
        <v>#VALUE!</v>
      </c>
      <c r="O43" s="11" t="e">
        <f t="shared" si="14"/>
        <v>#VALUE!</v>
      </c>
      <c r="P43" s="11" t="e">
        <f t="shared" si="14"/>
        <v>#VALUE!</v>
      </c>
      <c r="Q43" s="11" t="e">
        <f t="shared" si="14"/>
        <v>#VALUE!</v>
      </c>
      <c r="R43" s="11" t="e">
        <f t="shared" si="14"/>
        <v>#VALUE!</v>
      </c>
      <c r="S43" s="11" t="e">
        <f t="shared" si="14"/>
        <v>#VALUE!</v>
      </c>
      <c r="T43" s="11" t="e">
        <f t="shared" si="14"/>
        <v>#VALUE!</v>
      </c>
      <c r="U43" s="11" t="e">
        <f t="shared" si="14"/>
        <v>#VALUE!</v>
      </c>
      <c r="V43" s="11" t="e">
        <f t="shared" si="14"/>
        <v>#VALUE!</v>
      </c>
      <c r="W43" s="11" t="e">
        <f t="shared" si="14"/>
        <v>#VALUE!</v>
      </c>
      <c r="X43" s="11" t="e">
        <f t="shared" si="14"/>
        <v>#VALUE!</v>
      </c>
      <c r="Y43" s="11" t="e">
        <f t="shared" si="14"/>
        <v>#VALUE!</v>
      </c>
      <c r="Z43" s="11" t="e">
        <f t="shared" si="14"/>
        <v>#VALUE!</v>
      </c>
      <c r="AA43" s="11" t="e">
        <f t="shared" si="14"/>
        <v>#VALUE!</v>
      </c>
      <c r="AB43" s="11" t="e">
        <f t="shared" si="14"/>
        <v>#VALUE!</v>
      </c>
    </row>
    <row r="44" spans="1:28" s="10" customFormat="1" ht="12.75">
      <c r="A44" s="10" t="s">
        <v>33</v>
      </c>
      <c r="C44" s="11">
        <f aca="true" t="shared" si="15" ref="C44:AB44">(1+$B$21)^(C30-1)*$B$25^(C30-1)*IF($B$23-C30&lt;0,INDEX($C$41:$AB$41,1,COLUMN(C30)-$B$23-2),0)</f>
        <v>0</v>
      </c>
      <c r="D44" s="11">
        <f t="shared" si="15"/>
        <v>0</v>
      </c>
      <c r="E44" s="11">
        <f t="shared" si="15"/>
        <v>0</v>
      </c>
      <c r="F44" s="11">
        <f t="shared" si="15"/>
        <v>0</v>
      </c>
      <c r="G44" s="11">
        <f t="shared" si="15"/>
        <v>0</v>
      </c>
      <c r="H44" s="11">
        <f t="shared" si="15"/>
        <v>4730.997898333968</v>
      </c>
      <c r="I44" s="11">
        <f t="shared" si="15"/>
        <v>5849.901139398762</v>
      </c>
      <c r="J44" s="11">
        <f t="shared" si="15"/>
        <v>5422.092213127929</v>
      </c>
      <c r="K44" s="11">
        <f t="shared" si="15"/>
        <v>2948.5727965270476</v>
      </c>
      <c r="L44" s="11">
        <f t="shared" si="15"/>
        <v>856.7988682616871</v>
      </c>
      <c r="M44" s="11" t="e">
        <f t="shared" si="15"/>
        <v>#VALUE!</v>
      </c>
      <c r="N44" s="11" t="e">
        <f t="shared" si="15"/>
        <v>#VALUE!</v>
      </c>
      <c r="O44" s="11" t="e">
        <f t="shared" si="15"/>
        <v>#VALUE!</v>
      </c>
      <c r="P44" s="11" t="e">
        <f t="shared" si="15"/>
        <v>#VALUE!</v>
      </c>
      <c r="Q44" s="11" t="e">
        <f t="shared" si="15"/>
        <v>#VALUE!</v>
      </c>
      <c r="R44" s="11" t="e">
        <f t="shared" si="15"/>
        <v>#VALUE!</v>
      </c>
      <c r="S44" s="11" t="e">
        <f t="shared" si="15"/>
        <v>#VALUE!</v>
      </c>
      <c r="T44" s="11" t="e">
        <f t="shared" si="15"/>
        <v>#VALUE!</v>
      </c>
      <c r="U44" s="11" t="e">
        <f t="shared" si="15"/>
        <v>#VALUE!</v>
      </c>
      <c r="V44" s="11" t="e">
        <f t="shared" si="15"/>
        <v>#VALUE!</v>
      </c>
      <c r="W44" s="11" t="e">
        <f t="shared" si="15"/>
        <v>#VALUE!</v>
      </c>
      <c r="X44" s="11" t="e">
        <f t="shared" si="15"/>
        <v>#VALUE!</v>
      </c>
      <c r="Y44" s="11" t="e">
        <f t="shared" si="15"/>
        <v>#VALUE!</v>
      </c>
      <c r="Z44" s="11" t="e">
        <f t="shared" si="15"/>
        <v>#VALUE!</v>
      </c>
      <c r="AA44" s="11" t="e">
        <f t="shared" si="15"/>
        <v>#VALUE!</v>
      </c>
      <c r="AB44" s="11" t="e">
        <f t="shared" si="15"/>
        <v>#VALUE!</v>
      </c>
    </row>
    <row r="45" spans="1:28" s="10" customFormat="1" ht="12.75">
      <c r="A45" t="s">
        <v>34</v>
      </c>
      <c r="C45" s="11">
        <f aca="true" t="shared" si="16" ref="C45:AB45">(1+$B$21)^(C30-1)*$B$25^(C30-1)*IF($B$23-C30&lt;0,INDEX($C$42:$AB$42,1,COLUMN(C30)-$B$23-2),0)</f>
        <v>0</v>
      </c>
      <c r="D45" s="11">
        <f t="shared" si="16"/>
        <v>0</v>
      </c>
      <c r="E45" s="11">
        <f t="shared" si="16"/>
        <v>0</v>
      </c>
      <c r="F45" s="11">
        <f t="shared" si="16"/>
        <v>0</v>
      </c>
      <c r="G45" s="11">
        <f t="shared" si="16"/>
        <v>0</v>
      </c>
      <c r="H45" s="11">
        <f t="shared" si="16"/>
        <v>2365.498949166984</v>
      </c>
      <c r="I45" s="11">
        <f t="shared" si="16"/>
        <v>2924.950569699381</v>
      </c>
      <c r="J45" s="11">
        <f t="shared" si="16"/>
        <v>2711.0461065639647</v>
      </c>
      <c r="K45" s="11">
        <f t="shared" si="16"/>
        <v>1474.2863982635238</v>
      </c>
      <c r="L45" s="11">
        <f t="shared" si="16"/>
        <v>428.39943413084353</v>
      </c>
      <c r="M45" s="11" t="e">
        <f t="shared" si="16"/>
        <v>#VALUE!</v>
      </c>
      <c r="N45" s="11" t="e">
        <f t="shared" si="16"/>
        <v>#VALUE!</v>
      </c>
      <c r="O45" s="11" t="e">
        <f t="shared" si="16"/>
        <v>#VALUE!</v>
      </c>
      <c r="P45" s="11" t="e">
        <f t="shared" si="16"/>
        <v>#VALUE!</v>
      </c>
      <c r="Q45" s="11" t="e">
        <f t="shared" si="16"/>
        <v>#VALUE!</v>
      </c>
      <c r="R45" s="11" t="e">
        <f t="shared" si="16"/>
        <v>#VALUE!</v>
      </c>
      <c r="S45" s="11" t="e">
        <f t="shared" si="16"/>
        <v>#VALUE!</v>
      </c>
      <c r="T45" s="11" t="e">
        <f t="shared" si="16"/>
        <v>#VALUE!</v>
      </c>
      <c r="U45" s="11" t="e">
        <f t="shared" si="16"/>
        <v>#VALUE!</v>
      </c>
      <c r="V45" s="11" t="e">
        <f t="shared" si="16"/>
        <v>#VALUE!</v>
      </c>
      <c r="W45" s="11" t="e">
        <f t="shared" si="16"/>
        <v>#VALUE!</v>
      </c>
      <c r="X45" s="11" t="e">
        <f t="shared" si="16"/>
        <v>#VALUE!</v>
      </c>
      <c r="Y45" s="11" t="e">
        <f t="shared" si="16"/>
        <v>#VALUE!</v>
      </c>
      <c r="Z45" s="11" t="e">
        <f t="shared" si="16"/>
        <v>#VALUE!</v>
      </c>
      <c r="AA45" s="11" t="e">
        <f t="shared" si="16"/>
        <v>#VALUE!</v>
      </c>
      <c r="AB45" s="11" t="e">
        <f t="shared" si="16"/>
        <v>#VALUE!</v>
      </c>
    </row>
    <row r="46" spans="1:28" s="10" customFormat="1" ht="12.75">
      <c r="A46" s="10" t="s">
        <v>35</v>
      </c>
      <c r="C46" s="11">
        <f aca="true" t="shared" si="17" ref="C46:AB46">(1+$B$21)^(C30-1)*IF($B$23-C30&lt;0,INDEX($C$43:$AB$43,1,COLUMN(C30)-$B$23-2),0)</f>
        <v>0</v>
      </c>
      <c r="D46" s="11">
        <f t="shared" si="17"/>
        <v>0</v>
      </c>
      <c r="E46" s="11">
        <f t="shared" si="17"/>
        <v>0</v>
      </c>
      <c r="F46" s="11">
        <f t="shared" si="17"/>
        <v>0</v>
      </c>
      <c r="G46" s="11">
        <f t="shared" si="17"/>
        <v>0</v>
      </c>
      <c r="H46" s="11">
        <f t="shared" si="17"/>
        <v>10193.56227741211</v>
      </c>
      <c r="I46" s="11">
        <f t="shared" si="17"/>
        <v>29832.870227157768</v>
      </c>
      <c r="J46" s="11">
        <f t="shared" si="17"/>
        <v>65446.5410264846</v>
      </c>
      <c r="K46" s="11">
        <f t="shared" si="17"/>
        <v>84237.39732475526</v>
      </c>
      <c r="L46" s="11">
        <f t="shared" si="17"/>
        <v>57935.566311239956</v>
      </c>
      <c r="M46" s="11" t="e">
        <f t="shared" si="17"/>
        <v>#VALUE!</v>
      </c>
      <c r="N46" s="11" t="e">
        <f t="shared" si="17"/>
        <v>#VALUE!</v>
      </c>
      <c r="O46" s="11" t="e">
        <f t="shared" si="17"/>
        <v>#VALUE!</v>
      </c>
      <c r="P46" s="11" t="e">
        <f t="shared" si="17"/>
        <v>#VALUE!</v>
      </c>
      <c r="Q46" s="11" t="e">
        <f t="shared" si="17"/>
        <v>#VALUE!</v>
      </c>
      <c r="R46" s="11" t="e">
        <f t="shared" si="17"/>
        <v>#VALUE!</v>
      </c>
      <c r="S46" s="11" t="e">
        <f t="shared" si="17"/>
        <v>#VALUE!</v>
      </c>
      <c r="T46" s="11" t="e">
        <f t="shared" si="17"/>
        <v>#VALUE!</v>
      </c>
      <c r="U46" s="11" t="e">
        <f t="shared" si="17"/>
        <v>#VALUE!</v>
      </c>
      <c r="V46" s="11" t="e">
        <f t="shared" si="17"/>
        <v>#VALUE!</v>
      </c>
      <c r="W46" s="11" t="e">
        <f t="shared" si="17"/>
        <v>#VALUE!</v>
      </c>
      <c r="X46" s="11" t="e">
        <f t="shared" si="17"/>
        <v>#VALUE!</v>
      </c>
      <c r="Y46" s="11" t="e">
        <f t="shared" si="17"/>
        <v>#VALUE!</v>
      </c>
      <c r="Z46" s="11" t="e">
        <f t="shared" si="17"/>
        <v>#VALUE!</v>
      </c>
      <c r="AA46" s="11" t="e">
        <f t="shared" si="17"/>
        <v>#VALUE!</v>
      </c>
      <c r="AB46" s="11" t="e">
        <f t="shared" si="17"/>
        <v>#VALUE!</v>
      </c>
    </row>
    <row r="47" spans="1:28" s="14" customFormat="1" ht="12.75">
      <c r="A47" s="14" t="s">
        <v>15</v>
      </c>
      <c r="C47" s="15">
        <f>SUM(C40:C46)</f>
        <v>97865.8082156648</v>
      </c>
      <c r="D47" s="15">
        <f aca="true" t="shared" si="18" ref="D47:AB47">SUM(D40:D46)</f>
        <v>292975.6339579258</v>
      </c>
      <c r="E47" s="15">
        <f t="shared" si="18"/>
        <v>670226.1447134932</v>
      </c>
      <c r="F47" s="15">
        <f t="shared" si="18"/>
        <v>1136595.1515904765</v>
      </c>
      <c r="G47" s="15">
        <f t="shared" si="18"/>
        <v>1504079.0261795847</v>
      </c>
      <c r="H47" s="15">
        <f t="shared" si="18"/>
        <v>1736895.9107701927</v>
      </c>
      <c r="I47" s="15">
        <f t="shared" si="18"/>
        <v>1868986.9369269756</v>
      </c>
      <c r="J47" s="15">
        <f t="shared" si="18"/>
        <v>1967361.4791063548</v>
      </c>
      <c r="K47" s="15">
        <f t="shared" si="18"/>
        <v>2029060.3201550292</v>
      </c>
      <c r="L47" s="15">
        <f t="shared" si="18"/>
        <v>2041196.2369237386</v>
      </c>
      <c r="M47" s="15" t="e">
        <f t="shared" si="18"/>
        <v>#VALUE!</v>
      </c>
      <c r="N47" s="15" t="e">
        <f t="shared" si="18"/>
        <v>#VALUE!</v>
      </c>
      <c r="O47" s="15" t="e">
        <f t="shared" si="18"/>
        <v>#VALUE!</v>
      </c>
      <c r="P47" s="15" t="e">
        <f t="shared" si="18"/>
        <v>#VALUE!</v>
      </c>
      <c r="Q47" s="15" t="e">
        <f t="shared" si="18"/>
        <v>#VALUE!</v>
      </c>
      <c r="R47" s="15" t="e">
        <f t="shared" si="18"/>
        <v>#VALUE!</v>
      </c>
      <c r="S47" s="15" t="e">
        <f t="shared" si="18"/>
        <v>#VALUE!</v>
      </c>
      <c r="T47" s="15" t="e">
        <f t="shared" si="18"/>
        <v>#VALUE!</v>
      </c>
      <c r="U47" s="15" t="e">
        <f t="shared" si="18"/>
        <v>#VALUE!</v>
      </c>
      <c r="V47" s="15" t="e">
        <f t="shared" si="18"/>
        <v>#VALUE!</v>
      </c>
      <c r="W47" s="15" t="e">
        <f t="shared" si="18"/>
        <v>#VALUE!</v>
      </c>
      <c r="X47" s="15" t="e">
        <f t="shared" si="18"/>
        <v>#VALUE!</v>
      </c>
      <c r="Y47" s="15" t="e">
        <f t="shared" si="18"/>
        <v>#VALUE!</v>
      </c>
      <c r="Z47" s="15" t="e">
        <f t="shared" si="18"/>
        <v>#VALUE!</v>
      </c>
      <c r="AA47" s="15" t="e">
        <f t="shared" si="18"/>
        <v>#VALUE!</v>
      </c>
      <c r="AB47" s="15" t="e">
        <f t="shared" si="18"/>
        <v>#VALUE!</v>
      </c>
    </row>
    <row r="49" spans="1:7" ht="12.75">
      <c r="A49" s="6" t="s">
        <v>16</v>
      </c>
      <c r="G49" s="16"/>
    </row>
    <row r="50" ht="12.75">
      <c r="A50" s="17" t="s">
        <v>32</v>
      </c>
    </row>
    <row r="51" spans="1:28" ht="12.75">
      <c r="A51" t="s">
        <v>39</v>
      </c>
      <c r="C51" s="4">
        <f>(9000*12*CEILING(C35/($B$24/3),1))</f>
        <v>108000</v>
      </c>
      <c r="D51" s="4">
        <f aca="true" t="shared" si="19" ref="D51:AB51">(9000*12*CEILING(D35/($B$24/3),1))</f>
        <v>108000</v>
      </c>
      <c r="E51" s="4">
        <f t="shared" si="19"/>
        <v>216000</v>
      </c>
      <c r="F51" s="4">
        <f t="shared" si="19"/>
        <v>216000</v>
      </c>
      <c r="G51" s="4">
        <f t="shared" si="19"/>
        <v>324000</v>
      </c>
      <c r="H51" s="4">
        <f t="shared" si="19"/>
        <v>324000</v>
      </c>
      <c r="I51" s="4">
        <f t="shared" si="19"/>
        <v>324000</v>
      </c>
      <c r="J51" s="4">
        <f t="shared" si="19"/>
        <v>324000</v>
      </c>
      <c r="K51" s="4">
        <f t="shared" si="19"/>
        <v>324000</v>
      </c>
      <c r="L51" s="4">
        <f t="shared" si="19"/>
        <v>324000</v>
      </c>
      <c r="M51" s="4" t="e">
        <f t="shared" si="19"/>
        <v>#VALUE!</v>
      </c>
      <c r="N51" s="4" t="e">
        <f t="shared" si="19"/>
        <v>#VALUE!</v>
      </c>
      <c r="O51" s="4" t="e">
        <f t="shared" si="19"/>
        <v>#VALUE!</v>
      </c>
      <c r="P51" s="4" t="e">
        <f t="shared" si="19"/>
        <v>#VALUE!</v>
      </c>
      <c r="Q51" s="4" t="e">
        <f t="shared" si="19"/>
        <v>#VALUE!</v>
      </c>
      <c r="R51" s="4" t="e">
        <f t="shared" si="19"/>
        <v>#VALUE!</v>
      </c>
      <c r="S51" s="4" t="e">
        <f t="shared" si="19"/>
        <v>#VALUE!</v>
      </c>
      <c r="T51" s="4" t="e">
        <f t="shared" si="19"/>
        <v>#VALUE!</v>
      </c>
      <c r="U51" s="4" t="e">
        <f t="shared" si="19"/>
        <v>#VALUE!</v>
      </c>
      <c r="V51" s="4" t="e">
        <f t="shared" si="19"/>
        <v>#VALUE!</v>
      </c>
      <c r="W51" s="4" t="e">
        <f t="shared" si="19"/>
        <v>#VALUE!</v>
      </c>
      <c r="X51" s="4" t="e">
        <f t="shared" si="19"/>
        <v>#VALUE!</v>
      </c>
      <c r="Y51" s="4" t="e">
        <f t="shared" si="19"/>
        <v>#VALUE!</v>
      </c>
      <c r="Z51" s="4" t="e">
        <f t="shared" si="19"/>
        <v>#VALUE!</v>
      </c>
      <c r="AA51" s="4" t="e">
        <f t="shared" si="19"/>
        <v>#VALUE!</v>
      </c>
      <c r="AB51" s="4" t="e">
        <f t="shared" si="19"/>
        <v>#VALUE!</v>
      </c>
    </row>
    <row r="52" spans="1:28" ht="12.75">
      <c r="A52" t="s">
        <v>40</v>
      </c>
      <c r="C52" s="4">
        <f>0.5*50*C36</f>
        <v>2308.1558541430377</v>
      </c>
      <c r="D52" s="4">
        <f aca="true" t="shared" si="20" ref="D52:AB52">0.5*50*D36</f>
        <v>11109.138916666117</v>
      </c>
      <c r="E52" s="4">
        <f t="shared" si="20"/>
        <v>31292.65058431165</v>
      </c>
      <c r="F52" s="4">
        <f t="shared" si="20"/>
        <v>61920.59133800629</v>
      </c>
      <c r="G52" s="4">
        <f t="shared" si="20"/>
        <v>90054.36691181564</v>
      </c>
      <c r="H52" s="4">
        <f t="shared" si="20"/>
        <v>105947.07028566881</v>
      </c>
      <c r="I52" s="4">
        <f t="shared" si="20"/>
        <v>112229.6677255813</v>
      </c>
      <c r="J52" s="4">
        <f t="shared" si="20"/>
        <v>114311.54436848564</v>
      </c>
      <c r="K52" s="4">
        <f t="shared" si="20"/>
        <v>114957.90243626728</v>
      </c>
      <c r="L52" s="4">
        <f t="shared" si="20"/>
        <v>115154.39860329202</v>
      </c>
      <c r="M52" s="4" t="e">
        <f t="shared" si="20"/>
        <v>#VALUE!</v>
      </c>
      <c r="N52" s="4" t="e">
        <f t="shared" si="20"/>
        <v>#VALUE!</v>
      </c>
      <c r="O52" s="4" t="e">
        <f t="shared" si="20"/>
        <v>#VALUE!</v>
      </c>
      <c r="P52" s="4" t="e">
        <f t="shared" si="20"/>
        <v>#VALUE!</v>
      </c>
      <c r="Q52" s="4" t="e">
        <f t="shared" si="20"/>
        <v>#VALUE!</v>
      </c>
      <c r="R52" s="4" t="e">
        <f t="shared" si="20"/>
        <v>#VALUE!</v>
      </c>
      <c r="S52" s="4" t="e">
        <f t="shared" si="20"/>
        <v>#VALUE!</v>
      </c>
      <c r="T52" s="4" t="e">
        <f t="shared" si="20"/>
        <v>#VALUE!</v>
      </c>
      <c r="U52" s="4" t="e">
        <f t="shared" si="20"/>
        <v>#VALUE!</v>
      </c>
      <c r="V52" s="4" t="e">
        <f t="shared" si="20"/>
        <v>#VALUE!</v>
      </c>
      <c r="W52" s="4" t="e">
        <f t="shared" si="20"/>
        <v>#VALUE!</v>
      </c>
      <c r="X52" s="4" t="e">
        <f t="shared" si="20"/>
        <v>#VALUE!</v>
      </c>
      <c r="Y52" s="4" t="e">
        <f t="shared" si="20"/>
        <v>#VALUE!</v>
      </c>
      <c r="Z52" s="4" t="e">
        <f t="shared" si="20"/>
        <v>#VALUE!</v>
      </c>
      <c r="AA52" s="4" t="e">
        <f t="shared" si="20"/>
        <v>#VALUE!</v>
      </c>
      <c r="AB52" s="4" t="e">
        <f t="shared" si="20"/>
        <v>#VALUE!</v>
      </c>
    </row>
    <row r="53" spans="1:28" ht="12.75">
      <c r="A53" t="s">
        <v>41</v>
      </c>
      <c r="C53" s="4">
        <f>100*(C35-0)</f>
        <v>18465.2468331443</v>
      </c>
      <c r="D53" s="4">
        <f>100*(D35-C35)</f>
        <v>51942.61766704035</v>
      </c>
      <c r="E53" s="4">
        <f aca="true" t="shared" si="21" ref="E53:AB53">100*(E35-D35)</f>
        <v>109525.47567412394</v>
      </c>
      <c r="F53" s="4">
        <f t="shared" si="21"/>
        <v>135498.05035543322</v>
      </c>
      <c r="G53" s="4">
        <f t="shared" si="21"/>
        <v>89572.15423504163</v>
      </c>
      <c r="H53" s="4">
        <f t="shared" si="21"/>
        <v>37569.47275578359</v>
      </c>
      <c r="I53" s="4">
        <f t="shared" si="21"/>
        <v>12691.30676351624</v>
      </c>
      <c r="J53" s="4">
        <f t="shared" si="21"/>
        <v>3963.7063797187693</v>
      </c>
      <c r="K53" s="4">
        <f t="shared" si="21"/>
        <v>1207.1581625341423</v>
      </c>
      <c r="L53" s="4">
        <f t="shared" si="21"/>
        <v>364.8111736638384</v>
      </c>
      <c r="M53" s="4" t="e">
        <f t="shared" si="21"/>
        <v>#VALUE!</v>
      </c>
      <c r="N53" s="4" t="e">
        <f t="shared" si="21"/>
        <v>#VALUE!</v>
      </c>
      <c r="O53" s="4" t="e">
        <f t="shared" si="21"/>
        <v>#VALUE!</v>
      </c>
      <c r="P53" s="4" t="e">
        <f t="shared" si="21"/>
        <v>#VALUE!</v>
      </c>
      <c r="Q53" s="4" t="e">
        <f t="shared" si="21"/>
        <v>#VALUE!</v>
      </c>
      <c r="R53" s="4" t="e">
        <f t="shared" si="21"/>
        <v>#VALUE!</v>
      </c>
      <c r="S53" s="4" t="e">
        <f t="shared" si="21"/>
        <v>#VALUE!</v>
      </c>
      <c r="T53" s="4" t="e">
        <f t="shared" si="21"/>
        <v>#VALUE!</v>
      </c>
      <c r="U53" s="4" t="e">
        <f t="shared" si="21"/>
        <v>#VALUE!</v>
      </c>
      <c r="V53" s="4" t="e">
        <f t="shared" si="21"/>
        <v>#VALUE!</v>
      </c>
      <c r="W53" s="4" t="e">
        <f t="shared" si="21"/>
        <v>#VALUE!</v>
      </c>
      <c r="X53" s="4" t="e">
        <f t="shared" si="21"/>
        <v>#VALUE!</v>
      </c>
      <c r="Y53" s="4" t="e">
        <f t="shared" si="21"/>
        <v>#VALUE!</v>
      </c>
      <c r="Z53" s="4" t="e">
        <f t="shared" si="21"/>
        <v>#VALUE!</v>
      </c>
      <c r="AA53" s="4" t="e">
        <f t="shared" si="21"/>
        <v>#VALUE!</v>
      </c>
      <c r="AB53" s="4" t="e">
        <f t="shared" si="21"/>
        <v>#VALUE!</v>
      </c>
    </row>
    <row r="54" spans="1:28" ht="12.75">
      <c r="A54" t="s">
        <v>42</v>
      </c>
      <c r="C54" s="4">
        <f>1*12*C36</f>
        <v>1107.914809988658</v>
      </c>
      <c r="D54" s="4">
        <f aca="true" t="shared" si="22" ref="D54:AB54">1*12*D36</f>
        <v>5332.386679999736</v>
      </c>
      <c r="E54" s="4">
        <f t="shared" si="22"/>
        <v>15020.472280469592</v>
      </c>
      <c r="F54" s="4">
        <f t="shared" si="22"/>
        <v>29721.88384224302</v>
      </c>
      <c r="G54" s="4">
        <f t="shared" si="22"/>
        <v>43226.09611767151</v>
      </c>
      <c r="H54" s="4">
        <f t="shared" si="22"/>
        <v>50854.59373712103</v>
      </c>
      <c r="I54" s="4">
        <f t="shared" si="22"/>
        <v>53870.24050827902</v>
      </c>
      <c r="J54" s="4">
        <f t="shared" si="22"/>
        <v>54869.54129687311</v>
      </c>
      <c r="K54" s="4">
        <f t="shared" si="22"/>
        <v>55179.793169408294</v>
      </c>
      <c r="L54" s="4">
        <f t="shared" si="22"/>
        <v>55274.11132958017</v>
      </c>
      <c r="M54" s="4" t="e">
        <f t="shared" si="22"/>
        <v>#VALUE!</v>
      </c>
      <c r="N54" s="4" t="e">
        <f t="shared" si="22"/>
        <v>#VALUE!</v>
      </c>
      <c r="O54" s="4" t="e">
        <f t="shared" si="22"/>
        <v>#VALUE!</v>
      </c>
      <c r="P54" s="4" t="e">
        <f t="shared" si="22"/>
        <v>#VALUE!</v>
      </c>
      <c r="Q54" s="4" t="e">
        <f t="shared" si="22"/>
        <v>#VALUE!</v>
      </c>
      <c r="R54" s="4" t="e">
        <f t="shared" si="22"/>
        <v>#VALUE!</v>
      </c>
      <c r="S54" s="4" t="e">
        <f t="shared" si="22"/>
        <v>#VALUE!</v>
      </c>
      <c r="T54" s="4" t="e">
        <f t="shared" si="22"/>
        <v>#VALUE!</v>
      </c>
      <c r="U54" s="4" t="e">
        <f t="shared" si="22"/>
        <v>#VALUE!</v>
      </c>
      <c r="V54" s="4" t="e">
        <f t="shared" si="22"/>
        <v>#VALUE!</v>
      </c>
      <c r="W54" s="4" t="e">
        <f t="shared" si="22"/>
        <v>#VALUE!</v>
      </c>
      <c r="X54" s="4" t="e">
        <f t="shared" si="22"/>
        <v>#VALUE!</v>
      </c>
      <c r="Y54" s="4" t="e">
        <f t="shared" si="22"/>
        <v>#VALUE!</v>
      </c>
      <c r="Z54" s="4" t="e">
        <f t="shared" si="22"/>
        <v>#VALUE!</v>
      </c>
      <c r="AA54" s="4" t="e">
        <f t="shared" si="22"/>
        <v>#VALUE!</v>
      </c>
      <c r="AB54" s="4" t="e">
        <f t="shared" si="22"/>
        <v>#VALUE!</v>
      </c>
    </row>
    <row r="55" spans="1:28" ht="12.75">
      <c r="A55" t="s">
        <v>43</v>
      </c>
      <c r="C55" s="4">
        <f>10*C36</f>
        <v>923.2623416572151</v>
      </c>
      <c r="D55" s="4">
        <f aca="true" t="shared" si="23" ref="D55:AB55">10*D36</f>
        <v>4443.655566666447</v>
      </c>
      <c r="E55" s="4">
        <f t="shared" si="23"/>
        <v>12517.06023372466</v>
      </c>
      <c r="F55" s="4">
        <f t="shared" si="23"/>
        <v>24768.23653520252</v>
      </c>
      <c r="G55" s="4">
        <f t="shared" si="23"/>
        <v>36021.74676472626</v>
      </c>
      <c r="H55" s="4">
        <f t="shared" si="23"/>
        <v>42378.828114267526</v>
      </c>
      <c r="I55" s="4">
        <f t="shared" si="23"/>
        <v>44891.86709023252</v>
      </c>
      <c r="J55" s="4">
        <f t="shared" si="23"/>
        <v>45724.61774739426</v>
      </c>
      <c r="K55" s="4">
        <f t="shared" si="23"/>
        <v>45983.16097450691</v>
      </c>
      <c r="L55" s="4">
        <f t="shared" si="23"/>
        <v>46061.75944131681</v>
      </c>
      <c r="M55" s="4" t="e">
        <f t="shared" si="23"/>
        <v>#VALUE!</v>
      </c>
      <c r="N55" s="4" t="e">
        <f t="shared" si="23"/>
        <v>#VALUE!</v>
      </c>
      <c r="O55" s="4" t="e">
        <f t="shared" si="23"/>
        <v>#VALUE!</v>
      </c>
      <c r="P55" s="4" t="e">
        <f t="shared" si="23"/>
        <v>#VALUE!</v>
      </c>
      <c r="Q55" s="4" t="e">
        <f t="shared" si="23"/>
        <v>#VALUE!</v>
      </c>
      <c r="R55" s="4" t="e">
        <f t="shared" si="23"/>
        <v>#VALUE!</v>
      </c>
      <c r="S55" s="4" t="e">
        <f t="shared" si="23"/>
        <v>#VALUE!</v>
      </c>
      <c r="T55" s="4" t="e">
        <f t="shared" si="23"/>
        <v>#VALUE!</v>
      </c>
      <c r="U55" s="4" t="e">
        <f t="shared" si="23"/>
        <v>#VALUE!</v>
      </c>
      <c r="V55" s="4" t="e">
        <f t="shared" si="23"/>
        <v>#VALUE!</v>
      </c>
      <c r="W55" s="4" t="e">
        <f t="shared" si="23"/>
        <v>#VALUE!</v>
      </c>
      <c r="X55" s="4" t="e">
        <f t="shared" si="23"/>
        <v>#VALUE!</v>
      </c>
      <c r="Y55" s="4" t="e">
        <f t="shared" si="23"/>
        <v>#VALUE!</v>
      </c>
      <c r="Z55" s="4" t="e">
        <f t="shared" si="23"/>
        <v>#VALUE!</v>
      </c>
      <c r="AA55" s="4" t="e">
        <f t="shared" si="23"/>
        <v>#VALUE!</v>
      </c>
      <c r="AB55" s="4" t="e">
        <f t="shared" si="23"/>
        <v>#VALUE!</v>
      </c>
    </row>
    <row r="56" spans="1:28" ht="12.75">
      <c r="A56" t="s">
        <v>44</v>
      </c>
      <c r="C56" s="4">
        <f aca="true" t="shared" si="24" ref="C56:AB56">0.1*SUM($C$113:$C$116)</f>
        <v>18000</v>
      </c>
      <c r="D56" s="4">
        <f t="shared" si="24"/>
        <v>18000</v>
      </c>
      <c r="E56" s="4">
        <f t="shared" si="24"/>
        <v>18000</v>
      </c>
      <c r="F56" s="4">
        <f t="shared" si="24"/>
        <v>18000</v>
      </c>
      <c r="G56" s="4">
        <f t="shared" si="24"/>
        <v>18000</v>
      </c>
      <c r="H56" s="4">
        <f t="shared" si="24"/>
        <v>18000</v>
      </c>
      <c r="I56" s="4">
        <f t="shared" si="24"/>
        <v>18000</v>
      </c>
      <c r="J56" s="4">
        <f t="shared" si="24"/>
        <v>18000</v>
      </c>
      <c r="K56" s="4">
        <f t="shared" si="24"/>
        <v>18000</v>
      </c>
      <c r="L56" s="4">
        <f t="shared" si="24"/>
        <v>18000</v>
      </c>
      <c r="M56" s="4">
        <f t="shared" si="24"/>
        <v>18000</v>
      </c>
      <c r="N56" s="4">
        <f t="shared" si="24"/>
        <v>18000</v>
      </c>
      <c r="O56" s="4">
        <f t="shared" si="24"/>
        <v>18000</v>
      </c>
      <c r="P56" s="4">
        <f t="shared" si="24"/>
        <v>18000</v>
      </c>
      <c r="Q56" s="4">
        <f t="shared" si="24"/>
        <v>18000</v>
      </c>
      <c r="R56" s="4">
        <f t="shared" si="24"/>
        <v>18000</v>
      </c>
      <c r="S56" s="4">
        <f t="shared" si="24"/>
        <v>18000</v>
      </c>
      <c r="T56" s="4">
        <f t="shared" si="24"/>
        <v>18000</v>
      </c>
      <c r="U56" s="4">
        <f t="shared" si="24"/>
        <v>18000</v>
      </c>
      <c r="V56" s="4">
        <f t="shared" si="24"/>
        <v>18000</v>
      </c>
      <c r="W56" s="4">
        <f t="shared" si="24"/>
        <v>18000</v>
      </c>
      <c r="X56" s="4">
        <f t="shared" si="24"/>
        <v>18000</v>
      </c>
      <c r="Y56" s="4">
        <f t="shared" si="24"/>
        <v>18000</v>
      </c>
      <c r="Z56" s="4">
        <f t="shared" si="24"/>
        <v>18000</v>
      </c>
      <c r="AA56" s="4">
        <f t="shared" si="24"/>
        <v>18000</v>
      </c>
      <c r="AB56" s="4">
        <f t="shared" si="24"/>
        <v>18000</v>
      </c>
    </row>
    <row r="57" spans="1:28" ht="12.75">
      <c r="A57" t="s">
        <v>47</v>
      </c>
      <c r="C57" s="4">
        <f>0.15*$B$20*C36</f>
        <v>692.4467562429113</v>
      </c>
      <c r="D57" s="4">
        <f aca="true" t="shared" si="25" ref="D57:AB57">0.15*$B$20*D36</f>
        <v>3332.741674999835</v>
      </c>
      <c r="E57" s="4">
        <f t="shared" si="25"/>
        <v>9387.795175293495</v>
      </c>
      <c r="F57" s="4">
        <f t="shared" si="25"/>
        <v>18576.17740140189</v>
      </c>
      <c r="G57" s="4">
        <f t="shared" si="25"/>
        <v>27016.310073544693</v>
      </c>
      <c r="H57" s="4">
        <f t="shared" si="25"/>
        <v>31784.121085700644</v>
      </c>
      <c r="I57" s="4">
        <f t="shared" si="25"/>
        <v>33668.900317674386</v>
      </c>
      <c r="J57" s="4">
        <f t="shared" si="25"/>
        <v>34293.463310545696</v>
      </c>
      <c r="K57" s="4">
        <f t="shared" si="25"/>
        <v>34487.37073088018</v>
      </c>
      <c r="L57" s="4">
        <f t="shared" si="25"/>
        <v>34546.319580987605</v>
      </c>
      <c r="M57" s="4" t="e">
        <f t="shared" si="25"/>
        <v>#VALUE!</v>
      </c>
      <c r="N57" s="4" t="e">
        <f t="shared" si="25"/>
        <v>#VALUE!</v>
      </c>
      <c r="O57" s="4" t="e">
        <f t="shared" si="25"/>
        <v>#VALUE!</v>
      </c>
      <c r="P57" s="4" t="e">
        <f t="shared" si="25"/>
        <v>#VALUE!</v>
      </c>
      <c r="Q57" s="4" t="e">
        <f t="shared" si="25"/>
        <v>#VALUE!</v>
      </c>
      <c r="R57" s="4" t="e">
        <f t="shared" si="25"/>
        <v>#VALUE!</v>
      </c>
      <c r="S57" s="4" t="e">
        <f t="shared" si="25"/>
        <v>#VALUE!</v>
      </c>
      <c r="T57" s="4" t="e">
        <f t="shared" si="25"/>
        <v>#VALUE!</v>
      </c>
      <c r="U57" s="4" t="e">
        <f t="shared" si="25"/>
        <v>#VALUE!</v>
      </c>
      <c r="V57" s="4" t="e">
        <f t="shared" si="25"/>
        <v>#VALUE!</v>
      </c>
      <c r="W57" s="4" t="e">
        <f t="shared" si="25"/>
        <v>#VALUE!</v>
      </c>
      <c r="X57" s="4" t="e">
        <f t="shared" si="25"/>
        <v>#VALUE!</v>
      </c>
      <c r="Y57" s="4" t="e">
        <f t="shared" si="25"/>
        <v>#VALUE!</v>
      </c>
      <c r="Z57" s="4" t="e">
        <f t="shared" si="25"/>
        <v>#VALUE!</v>
      </c>
      <c r="AA57" s="4" t="e">
        <f t="shared" si="25"/>
        <v>#VALUE!</v>
      </c>
      <c r="AB57" s="4" t="e">
        <f t="shared" si="25"/>
        <v>#VALUE!</v>
      </c>
    </row>
    <row r="58" spans="1:28" ht="12.75">
      <c r="A58" t="s">
        <v>36</v>
      </c>
      <c r="C58" s="4">
        <f>($B$18*(1/(1+$B$27))*(C35-0))*(1+$B$21)^(C30-1)*$B$25^(C30-1)</f>
        <v>27767.288470893684</v>
      </c>
      <c r="D58" s="4">
        <f>($B$18*(1/(1+$B$27))*(D35-C35))*(1+$B$21)^(D30-1)*$B$25^(D30-1)</f>
        <v>51786.39926804173</v>
      </c>
      <c r="E58" s="4">
        <f aca="true" t="shared" si="26" ref="E58:AB58">($B$18*(1/(1+$B$27))*(E35-D35))*(1+$B$21)^(E30-1)*$B$25^(E30-1)</f>
        <v>72396.99822044959</v>
      </c>
      <c r="F58" s="4">
        <f t="shared" si="26"/>
        <v>59381.61244406581</v>
      </c>
      <c r="G58" s="4">
        <f t="shared" si="26"/>
        <v>26025.88386805825</v>
      </c>
      <c r="H58" s="4">
        <f t="shared" si="26"/>
        <v>7237.375351663281</v>
      </c>
      <c r="I58" s="4">
        <f t="shared" si="26"/>
        <v>1620.935996189069</v>
      </c>
      <c r="J58" s="4">
        <f t="shared" si="26"/>
        <v>335.6406312525622</v>
      </c>
      <c r="K58" s="4">
        <f t="shared" si="26"/>
        <v>67.7720710181887</v>
      </c>
      <c r="L58" s="4">
        <f t="shared" si="26"/>
        <v>13.579014186466908</v>
      </c>
      <c r="M58" s="4" t="e">
        <f t="shared" si="26"/>
        <v>#VALUE!</v>
      </c>
      <c r="N58" s="4" t="e">
        <f t="shared" si="26"/>
        <v>#VALUE!</v>
      </c>
      <c r="O58" s="4" t="e">
        <f t="shared" si="26"/>
        <v>#VALUE!</v>
      </c>
      <c r="P58" s="4" t="e">
        <f t="shared" si="26"/>
        <v>#VALUE!</v>
      </c>
      <c r="Q58" s="4" t="e">
        <f t="shared" si="26"/>
        <v>#VALUE!</v>
      </c>
      <c r="R58" s="4" t="e">
        <f t="shared" si="26"/>
        <v>#VALUE!</v>
      </c>
      <c r="S58" s="4" t="e">
        <f t="shared" si="26"/>
        <v>#VALUE!</v>
      </c>
      <c r="T58" s="4" t="e">
        <f t="shared" si="26"/>
        <v>#VALUE!</v>
      </c>
      <c r="U58" s="4" t="e">
        <f t="shared" si="26"/>
        <v>#VALUE!</v>
      </c>
      <c r="V58" s="4" t="e">
        <f t="shared" si="26"/>
        <v>#VALUE!</v>
      </c>
      <c r="W58" s="4" t="e">
        <f t="shared" si="26"/>
        <v>#VALUE!</v>
      </c>
      <c r="X58" s="4" t="e">
        <f t="shared" si="26"/>
        <v>#VALUE!</v>
      </c>
      <c r="Y58" s="4" t="e">
        <f t="shared" si="26"/>
        <v>#VALUE!</v>
      </c>
      <c r="Z58" s="4" t="e">
        <f t="shared" si="26"/>
        <v>#VALUE!</v>
      </c>
      <c r="AA58" s="4" t="e">
        <f t="shared" si="26"/>
        <v>#VALUE!</v>
      </c>
      <c r="AB58" s="4" t="e">
        <f t="shared" si="26"/>
        <v>#VALUE!</v>
      </c>
    </row>
    <row r="59" spans="1:28" s="10" customFormat="1" ht="12.75">
      <c r="A59" s="10" t="s">
        <v>37</v>
      </c>
      <c r="C59" s="11">
        <f>$B$19*(1/(1+$B$27))*(C35-0)*(1+$B$21)^(C30-1)*$B$25^(C30-1)</f>
        <v>13883.644235446842</v>
      </c>
      <c r="D59" s="11">
        <f>$B$19*(1/(1+$B$27))*(D35-C35)*(1+$B$21)^(D30-1)*$B$25^(D30-1)</f>
        <v>25893.199634020864</v>
      </c>
      <c r="E59" s="11">
        <f aca="true" t="shared" si="27" ref="E59:AB59">$B$19*(1/(1+$B$27))*(E35-D35)*(1+$B$21)^(E30-1)*$B$25^(E30-1)</f>
        <v>36198.499110224795</v>
      </c>
      <c r="F59" s="11">
        <f t="shared" si="27"/>
        <v>29690.806222032905</v>
      </c>
      <c r="G59" s="11">
        <f t="shared" si="27"/>
        <v>13012.941934029124</v>
      </c>
      <c r="H59" s="11">
        <f t="shared" si="27"/>
        <v>3618.6876758316407</v>
      </c>
      <c r="I59" s="11">
        <f t="shared" si="27"/>
        <v>810.4679980945346</v>
      </c>
      <c r="J59" s="11">
        <f t="shared" si="27"/>
        <v>167.8203156262811</v>
      </c>
      <c r="K59" s="11">
        <f t="shared" si="27"/>
        <v>33.88603550909435</v>
      </c>
      <c r="L59" s="11">
        <f t="shared" si="27"/>
        <v>6.789507093233454</v>
      </c>
      <c r="M59" s="11" t="e">
        <f t="shared" si="27"/>
        <v>#VALUE!</v>
      </c>
      <c r="N59" s="11" t="e">
        <f t="shared" si="27"/>
        <v>#VALUE!</v>
      </c>
      <c r="O59" s="11" t="e">
        <f t="shared" si="27"/>
        <v>#VALUE!</v>
      </c>
      <c r="P59" s="11" t="e">
        <f t="shared" si="27"/>
        <v>#VALUE!</v>
      </c>
      <c r="Q59" s="11" t="e">
        <f t="shared" si="27"/>
        <v>#VALUE!</v>
      </c>
      <c r="R59" s="11" t="e">
        <f t="shared" si="27"/>
        <v>#VALUE!</v>
      </c>
      <c r="S59" s="11" t="e">
        <f t="shared" si="27"/>
        <v>#VALUE!</v>
      </c>
      <c r="T59" s="11" t="e">
        <f t="shared" si="27"/>
        <v>#VALUE!</v>
      </c>
      <c r="U59" s="11" t="e">
        <f t="shared" si="27"/>
        <v>#VALUE!</v>
      </c>
      <c r="V59" s="11" t="e">
        <f t="shared" si="27"/>
        <v>#VALUE!</v>
      </c>
      <c r="W59" s="11" t="e">
        <f t="shared" si="27"/>
        <v>#VALUE!</v>
      </c>
      <c r="X59" s="11" t="e">
        <f t="shared" si="27"/>
        <v>#VALUE!</v>
      </c>
      <c r="Y59" s="11" t="e">
        <f t="shared" si="27"/>
        <v>#VALUE!</v>
      </c>
      <c r="Z59" s="11" t="e">
        <f t="shared" si="27"/>
        <v>#VALUE!</v>
      </c>
      <c r="AA59" s="11" t="e">
        <f t="shared" si="27"/>
        <v>#VALUE!</v>
      </c>
      <c r="AB59" s="11" t="e">
        <f t="shared" si="27"/>
        <v>#VALUE!</v>
      </c>
    </row>
    <row r="60" spans="1:28" s="10" customFormat="1" ht="12.75">
      <c r="A60" s="10" t="s">
        <v>25</v>
      </c>
      <c r="C60" s="11">
        <f aca="true" t="shared" si="28" ref="C60:AB60">C43+C46</f>
        <v>9232.62341657215</v>
      </c>
      <c r="D60" s="11">
        <f t="shared" si="28"/>
        <v>26490.73501019058</v>
      </c>
      <c r="E60" s="11">
        <f t="shared" si="28"/>
        <v>56975.152445679276</v>
      </c>
      <c r="F60" s="11">
        <f t="shared" si="28"/>
        <v>71895.80751079429</v>
      </c>
      <c r="G60" s="11">
        <f t="shared" si="28"/>
        <v>48477.890192244624</v>
      </c>
      <c r="H60" s="11">
        <f t="shared" si="28"/>
        <v>30933.42910541514</v>
      </c>
      <c r="I60" s="11">
        <f t="shared" si="28"/>
        <v>36979.10659136927</v>
      </c>
      <c r="J60" s="11">
        <f t="shared" si="28"/>
        <v>67723.06738106108</v>
      </c>
      <c r="K60" s="11">
        <f t="shared" si="28"/>
        <v>84944.58641749856</v>
      </c>
      <c r="L60" s="11">
        <f t="shared" si="28"/>
        <v>58153.557872537975</v>
      </c>
      <c r="M60" s="11" t="e">
        <f t="shared" si="28"/>
        <v>#VALUE!</v>
      </c>
      <c r="N60" s="11" t="e">
        <f t="shared" si="28"/>
        <v>#VALUE!</v>
      </c>
      <c r="O60" s="11" t="e">
        <f t="shared" si="28"/>
        <v>#VALUE!</v>
      </c>
      <c r="P60" s="11" t="e">
        <f t="shared" si="28"/>
        <v>#VALUE!</v>
      </c>
      <c r="Q60" s="11" t="e">
        <f t="shared" si="28"/>
        <v>#VALUE!</v>
      </c>
      <c r="R60" s="11" t="e">
        <f t="shared" si="28"/>
        <v>#VALUE!</v>
      </c>
      <c r="S60" s="11" t="e">
        <f t="shared" si="28"/>
        <v>#VALUE!</v>
      </c>
      <c r="T60" s="11" t="e">
        <f t="shared" si="28"/>
        <v>#VALUE!</v>
      </c>
      <c r="U60" s="11" t="e">
        <f t="shared" si="28"/>
        <v>#VALUE!</v>
      </c>
      <c r="V60" s="11" t="e">
        <f t="shared" si="28"/>
        <v>#VALUE!</v>
      </c>
      <c r="W60" s="11" t="e">
        <f t="shared" si="28"/>
        <v>#VALUE!</v>
      </c>
      <c r="X60" s="11" t="e">
        <f t="shared" si="28"/>
        <v>#VALUE!</v>
      </c>
      <c r="Y60" s="11" t="e">
        <f t="shared" si="28"/>
        <v>#VALUE!</v>
      </c>
      <c r="Z60" s="11" t="e">
        <f t="shared" si="28"/>
        <v>#VALUE!</v>
      </c>
      <c r="AA60" s="11" t="e">
        <f t="shared" si="28"/>
        <v>#VALUE!</v>
      </c>
      <c r="AB60" s="11" t="e">
        <f t="shared" si="28"/>
        <v>#VALUE!</v>
      </c>
    </row>
    <row r="61" spans="1:28" s="10" customFormat="1" ht="12.75">
      <c r="A61" s="10" t="s">
        <v>33</v>
      </c>
      <c r="C61" s="11">
        <f aca="true" t="shared" si="29" ref="C61:AB61">(1+$B$21)^(C30-1)*$B$25^(C30-1)*IF($B$23-C30&lt;0,INDEX($C$58:$AB$58,1,COLUMN(C30)-$B$23-2),0)</f>
        <v>0</v>
      </c>
      <c r="D61" s="11">
        <f t="shared" si="29"/>
        <v>0</v>
      </c>
      <c r="E61" s="11">
        <f t="shared" si="29"/>
        <v>0</v>
      </c>
      <c r="F61" s="11">
        <f t="shared" si="29"/>
        <v>0</v>
      </c>
      <c r="G61" s="11">
        <f t="shared" si="29"/>
        <v>0</v>
      </c>
      <c r="H61" s="11">
        <f t="shared" si="29"/>
        <v>3557.141276942833</v>
      </c>
      <c r="I61" s="11">
        <f t="shared" si="29"/>
        <v>4398.421909322376</v>
      </c>
      <c r="J61" s="11">
        <f t="shared" si="29"/>
        <v>4076.7610625022016</v>
      </c>
      <c r="K61" s="11">
        <f t="shared" si="29"/>
        <v>2216.972027463945</v>
      </c>
      <c r="L61" s="11">
        <f t="shared" si="29"/>
        <v>644.2096753847271</v>
      </c>
      <c r="M61" s="11" t="e">
        <f t="shared" si="29"/>
        <v>#VALUE!</v>
      </c>
      <c r="N61" s="11" t="e">
        <f t="shared" si="29"/>
        <v>#VALUE!</v>
      </c>
      <c r="O61" s="11" t="e">
        <f t="shared" si="29"/>
        <v>#VALUE!</v>
      </c>
      <c r="P61" s="11" t="e">
        <f t="shared" si="29"/>
        <v>#VALUE!</v>
      </c>
      <c r="Q61" s="11" t="e">
        <f t="shared" si="29"/>
        <v>#VALUE!</v>
      </c>
      <c r="R61" s="11" t="e">
        <f t="shared" si="29"/>
        <v>#VALUE!</v>
      </c>
      <c r="S61" s="11" t="e">
        <f t="shared" si="29"/>
        <v>#VALUE!</v>
      </c>
      <c r="T61" s="11" t="e">
        <f t="shared" si="29"/>
        <v>#VALUE!</v>
      </c>
      <c r="U61" s="11" t="e">
        <f t="shared" si="29"/>
        <v>#VALUE!</v>
      </c>
      <c r="V61" s="11" t="e">
        <f t="shared" si="29"/>
        <v>#VALUE!</v>
      </c>
      <c r="W61" s="11" t="e">
        <f t="shared" si="29"/>
        <v>#VALUE!</v>
      </c>
      <c r="X61" s="11" t="e">
        <f t="shared" si="29"/>
        <v>#VALUE!</v>
      </c>
      <c r="Y61" s="11" t="e">
        <f t="shared" si="29"/>
        <v>#VALUE!</v>
      </c>
      <c r="Z61" s="11" t="e">
        <f t="shared" si="29"/>
        <v>#VALUE!</v>
      </c>
      <c r="AA61" s="11" t="e">
        <f t="shared" si="29"/>
        <v>#VALUE!</v>
      </c>
      <c r="AB61" s="11" t="e">
        <f t="shared" si="29"/>
        <v>#VALUE!</v>
      </c>
    </row>
    <row r="62" spans="1:28" s="10" customFormat="1" ht="12.75">
      <c r="A62" t="s">
        <v>34</v>
      </c>
      <c r="C62" s="11">
        <f aca="true" t="shared" si="30" ref="C62:AB62">(1+$B$21)^(C30-1)*$B$25^(C30-1)*IF($B$23-C30&lt;0,INDEX($C$59:$AB$59,1,COLUMN(C30)-$B$23-2),0)</f>
        <v>0</v>
      </c>
      <c r="D62" s="11">
        <f t="shared" si="30"/>
        <v>0</v>
      </c>
      <c r="E62" s="11">
        <f t="shared" si="30"/>
        <v>0</v>
      </c>
      <c r="F62" s="11">
        <f t="shared" si="30"/>
        <v>0</v>
      </c>
      <c r="G62" s="11">
        <f t="shared" si="30"/>
        <v>0</v>
      </c>
      <c r="H62" s="11">
        <f t="shared" si="30"/>
        <v>1778.5706384714165</v>
      </c>
      <c r="I62" s="11">
        <f t="shared" si="30"/>
        <v>2199.210954661188</v>
      </c>
      <c r="J62" s="11">
        <f t="shared" si="30"/>
        <v>2038.3805312511008</v>
      </c>
      <c r="K62" s="11">
        <f t="shared" si="30"/>
        <v>1108.4860137319724</v>
      </c>
      <c r="L62" s="11">
        <f t="shared" si="30"/>
        <v>322.10483769236356</v>
      </c>
      <c r="M62" s="11" t="e">
        <f t="shared" si="30"/>
        <v>#VALUE!</v>
      </c>
      <c r="N62" s="11" t="e">
        <f t="shared" si="30"/>
        <v>#VALUE!</v>
      </c>
      <c r="O62" s="11" t="e">
        <f t="shared" si="30"/>
        <v>#VALUE!</v>
      </c>
      <c r="P62" s="11" t="e">
        <f t="shared" si="30"/>
        <v>#VALUE!</v>
      </c>
      <c r="Q62" s="11" t="e">
        <f t="shared" si="30"/>
        <v>#VALUE!</v>
      </c>
      <c r="R62" s="11" t="e">
        <f t="shared" si="30"/>
        <v>#VALUE!</v>
      </c>
      <c r="S62" s="11" t="e">
        <f t="shared" si="30"/>
        <v>#VALUE!</v>
      </c>
      <c r="T62" s="11" t="e">
        <f t="shared" si="30"/>
        <v>#VALUE!</v>
      </c>
      <c r="U62" s="11" t="e">
        <f t="shared" si="30"/>
        <v>#VALUE!</v>
      </c>
      <c r="V62" s="11" t="e">
        <f t="shared" si="30"/>
        <v>#VALUE!</v>
      </c>
      <c r="W62" s="11" t="e">
        <f t="shared" si="30"/>
        <v>#VALUE!</v>
      </c>
      <c r="X62" s="11" t="e">
        <f t="shared" si="30"/>
        <v>#VALUE!</v>
      </c>
      <c r="Y62" s="11" t="e">
        <f t="shared" si="30"/>
        <v>#VALUE!</v>
      </c>
      <c r="Z62" s="11" t="e">
        <f t="shared" si="30"/>
        <v>#VALUE!</v>
      </c>
      <c r="AA62" s="11" t="e">
        <f t="shared" si="30"/>
        <v>#VALUE!</v>
      </c>
      <c r="AB62" s="11" t="e">
        <f t="shared" si="30"/>
        <v>#VALUE!</v>
      </c>
    </row>
    <row r="63" spans="1:28" s="10" customFormat="1" ht="12.75">
      <c r="A63" s="10" t="s">
        <v>35</v>
      </c>
      <c r="C63" s="11">
        <f aca="true" t="shared" si="31" ref="C63:AB63">(1+$B$21)^(C30-1)*IF($B$23-C30&lt;0,INDEX($C$60:$AB$60,1,COLUMN(C30)-$B$23-2),0)</f>
        <v>0</v>
      </c>
      <c r="D63" s="11">
        <f t="shared" si="31"/>
        <v>0</v>
      </c>
      <c r="E63" s="11">
        <f t="shared" si="31"/>
        <v>0</v>
      </c>
      <c r="F63" s="11">
        <f t="shared" si="31"/>
        <v>0</v>
      </c>
      <c r="G63" s="11">
        <f t="shared" si="31"/>
        <v>0</v>
      </c>
      <c r="H63" s="11">
        <f t="shared" si="31"/>
        <v>10193.56227741211</v>
      </c>
      <c r="I63" s="11">
        <f t="shared" si="31"/>
        <v>29832.870227157768</v>
      </c>
      <c r="J63" s="11">
        <f t="shared" si="31"/>
        <v>65446.5410264846</v>
      </c>
      <c r="K63" s="11">
        <f t="shared" si="31"/>
        <v>84237.39732475526</v>
      </c>
      <c r="L63" s="11">
        <f t="shared" si="31"/>
        <v>57935.566311239956</v>
      </c>
      <c r="M63" s="11" t="e">
        <f t="shared" si="31"/>
        <v>#VALUE!</v>
      </c>
      <c r="N63" s="11" t="e">
        <f t="shared" si="31"/>
        <v>#VALUE!</v>
      </c>
      <c r="O63" s="11" t="e">
        <f t="shared" si="31"/>
        <v>#VALUE!</v>
      </c>
      <c r="P63" s="11" t="e">
        <f t="shared" si="31"/>
        <v>#VALUE!</v>
      </c>
      <c r="Q63" s="11" t="e">
        <f t="shared" si="31"/>
        <v>#VALUE!</v>
      </c>
      <c r="R63" s="11" t="e">
        <f t="shared" si="31"/>
        <v>#VALUE!</v>
      </c>
      <c r="S63" s="11" t="e">
        <f t="shared" si="31"/>
        <v>#VALUE!</v>
      </c>
      <c r="T63" s="11" t="e">
        <f t="shared" si="31"/>
        <v>#VALUE!</v>
      </c>
      <c r="U63" s="11" t="e">
        <f t="shared" si="31"/>
        <v>#VALUE!</v>
      </c>
      <c r="V63" s="11" t="e">
        <f t="shared" si="31"/>
        <v>#VALUE!</v>
      </c>
      <c r="W63" s="11" t="e">
        <f t="shared" si="31"/>
        <v>#VALUE!</v>
      </c>
      <c r="X63" s="11" t="e">
        <f t="shared" si="31"/>
        <v>#VALUE!</v>
      </c>
      <c r="Y63" s="11" t="e">
        <f t="shared" si="31"/>
        <v>#VALUE!</v>
      </c>
      <c r="Z63" s="11" t="e">
        <f t="shared" si="31"/>
        <v>#VALUE!</v>
      </c>
      <c r="AA63" s="11" t="e">
        <f t="shared" si="31"/>
        <v>#VALUE!</v>
      </c>
      <c r="AB63" s="11" t="e">
        <f t="shared" si="31"/>
        <v>#VALUE!</v>
      </c>
    </row>
    <row r="64" spans="1:28" s="14" customFormat="1" ht="12.75">
      <c r="A64" s="14" t="s">
        <v>51</v>
      </c>
      <c r="C64" s="15">
        <f>SUM(C51:C63)</f>
        <v>200380.5827180888</v>
      </c>
      <c r="D64" s="15">
        <f aca="true" t="shared" si="32" ref="D64:AB64">SUM(D51:D63)</f>
        <v>306330.87441762566</v>
      </c>
      <c r="E64" s="15">
        <f t="shared" si="32"/>
        <v>577314.103724277</v>
      </c>
      <c r="F64" s="15">
        <f t="shared" si="32"/>
        <v>665453.16564918</v>
      </c>
      <c r="G64" s="15">
        <f t="shared" si="32"/>
        <v>715407.3900971317</v>
      </c>
      <c r="H64" s="15">
        <f t="shared" si="32"/>
        <v>667852.852304278</v>
      </c>
      <c r="I64" s="15">
        <f t="shared" si="32"/>
        <v>675192.9960820775</v>
      </c>
      <c r="J64" s="15">
        <f t="shared" si="32"/>
        <v>734951.0840511952</v>
      </c>
      <c r="K64" s="15">
        <f t="shared" si="32"/>
        <v>766424.4853635738</v>
      </c>
      <c r="L64" s="15">
        <f t="shared" si="32"/>
        <v>710477.2073469751</v>
      </c>
      <c r="M64" s="15" t="e">
        <f t="shared" si="32"/>
        <v>#VALUE!</v>
      </c>
      <c r="N64" s="15" t="e">
        <f t="shared" si="32"/>
        <v>#VALUE!</v>
      </c>
      <c r="O64" s="15" t="e">
        <f t="shared" si="32"/>
        <v>#VALUE!</v>
      </c>
      <c r="P64" s="15" t="e">
        <f t="shared" si="32"/>
        <v>#VALUE!</v>
      </c>
      <c r="Q64" s="15" t="e">
        <f t="shared" si="32"/>
        <v>#VALUE!</v>
      </c>
      <c r="R64" s="15" t="e">
        <f t="shared" si="32"/>
        <v>#VALUE!</v>
      </c>
      <c r="S64" s="15" t="e">
        <f t="shared" si="32"/>
        <v>#VALUE!</v>
      </c>
      <c r="T64" s="15" t="e">
        <f t="shared" si="32"/>
        <v>#VALUE!</v>
      </c>
      <c r="U64" s="15" t="e">
        <f t="shared" si="32"/>
        <v>#VALUE!</v>
      </c>
      <c r="V64" s="15" t="e">
        <f t="shared" si="32"/>
        <v>#VALUE!</v>
      </c>
      <c r="W64" s="15" t="e">
        <f t="shared" si="32"/>
        <v>#VALUE!</v>
      </c>
      <c r="X64" s="15" t="e">
        <f t="shared" si="32"/>
        <v>#VALUE!</v>
      </c>
      <c r="Y64" s="15" t="e">
        <f t="shared" si="32"/>
        <v>#VALUE!</v>
      </c>
      <c r="Z64" s="15" t="e">
        <f t="shared" si="32"/>
        <v>#VALUE!</v>
      </c>
      <c r="AA64" s="15" t="e">
        <f t="shared" si="32"/>
        <v>#VALUE!</v>
      </c>
      <c r="AB64" s="15" t="e">
        <f t="shared" si="32"/>
        <v>#VALUE!</v>
      </c>
    </row>
    <row r="66" ht="12.75">
      <c r="A66" s="17" t="s">
        <v>45</v>
      </c>
    </row>
    <row r="67" spans="1:28" ht="12.75">
      <c r="A67" s="10" t="s">
        <v>48</v>
      </c>
      <c r="C67" s="4">
        <f>SUM(C68:C68)</f>
        <v>36000</v>
      </c>
      <c r="D67" s="4">
        <f ca="1">SUM(D68:OFFSET(D68,C30,0,1,1))</f>
        <v>36000</v>
      </c>
      <c r="E67" s="4">
        <f ca="1">SUM(E68:OFFSET(E68,D30,0,1,1))</f>
        <v>36000</v>
      </c>
      <c r="F67" s="4">
        <f ca="1">SUM(F68:OFFSET(F68,E30,0,1,1))</f>
        <v>36000</v>
      </c>
      <c r="G67" s="4">
        <f ca="1">SUM(G68:OFFSET(G68,F30,0,1,1))</f>
        <v>36000</v>
      </c>
      <c r="H67" s="4">
        <f ca="1">SUM(H68:OFFSET(H68,G30,0,1,1))</f>
        <v>4611.796578703548</v>
      </c>
      <c r="I67" s="4">
        <f ca="1">SUM(I68:OFFSET(I68,H30,0,1,1))</f>
        <v>4611.796578703548</v>
      </c>
      <c r="J67" s="4">
        <f ca="1">SUM(J68:OFFSET(J68,I30,0,1,1))</f>
        <v>4611.796578703548</v>
      </c>
      <c r="K67" s="4">
        <f ca="1">SUM(K68:OFFSET(K68,J30,0,1,1))</f>
        <v>4611.796578703548</v>
      </c>
      <c r="L67" s="4">
        <f ca="1">SUM(L68:OFFSET(L68,K30,0,1,1))</f>
        <v>4611.796578703548</v>
      </c>
      <c r="M67" s="4" t="e">
        <f ca="1">SUM(M68:OFFSET(M68,L30,0,1,1))</f>
        <v>#VALUE!</v>
      </c>
      <c r="N67" s="4" t="e">
        <f ca="1">SUM(N68:OFFSET(N68,M30,0,1,1))</f>
        <v>#VALUE!</v>
      </c>
      <c r="O67" s="4" t="e">
        <f ca="1">SUM(O68:OFFSET(O68,N30,0,1,1))</f>
        <v>#VALUE!</v>
      </c>
      <c r="P67" s="4" t="e">
        <f ca="1">SUM(P68:OFFSET(P68,O30,0,1,1))</f>
        <v>#VALUE!</v>
      </c>
      <c r="Q67" s="4" t="e">
        <f ca="1">SUM(Q68:OFFSET(Q68,P30,0,1,1))</f>
        <v>#VALUE!</v>
      </c>
      <c r="R67" s="4" t="e">
        <f ca="1">SUM(R68:OFFSET(R68,Q30,0,1,1))</f>
        <v>#VALUE!</v>
      </c>
      <c r="S67" s="4" t="e">
        <f ca="1">SUM(S68:OFFSET(S68,R30,0,1,1))</f>
        <v>#VALUE!</v>
      </c>
      <c r="T67" s="4" t="e">
        <f ca="1">SUM(T68:OFFSET(T68,S30,0,1,1))</f>
        <v>#VALUE!</v>
      </c>
      <c r="U67" s="4" t="e">
        <f ca="1">SUM(U68:OFFSET(U68,T30,0,1,1))</f>
        <v>#VALUE!</v>
      </c>
      <c r="V67" s="4" t="e">
        <f ca="1">SUM(V68:OFFSET(V68,U30,0,1,1))</f>
        <v>#VALUE!</v>
      </c>
      <c r="W67" s="4" t="e">
        <f ca="1">SUM(W68:OFFSET(W68,V30,0,1,1))</f>
        <v>#VALUE!</v>
      </c>
      <c r="X67" s="4" t="e">
        <f ca="1">SUM(X68:OFFSET(X68,W30,0,1,1))</f>
        <v>#VALUE!</v>
      </c>
      <c r="Y67" s="4" t="e">
        <f ca="1">SUM(Y68:OFFSET(Y68,X30,0,1,1))</f>
        <v>#VALUE!</v>
      </c>
      <c r="Z67" s="4" t="e">
        <f ca="1">SUM(Z68:OFFSET(Z68,Y30,0,1,1))</f>
        <v>#VALUE!</v>
      </c>
      <c r="AA67" s="4" t="e">
        <f ca="1">SUM(AA68:OFFSET(AA68,Z30,0,1,1))</f>
        <v>#VALUE!</v>
      </c>
      <c r="AB67" s="4" t="e">
        <f ca="1">SUM(AB68:OFFSET(AB68,AA30,0,1,1))</f>
        <v>#VALUE!</v>
      </c>
    </row>
    <row r="68" spans="3:28" s="10" customFormat="1" ht="12.75" hidden="1">
      <c r="C68" s="11">
        <f aca="true" t="shared" si="33" ref="C68:AB68">IF($B$23-C$30+0&gt;=0,SLN($C$117+$C$120,0,$B$23),0)</f>
        <v>36000</v>
      </c>
      <c r="D68" s="11">
        <f t="shared" si="33"/>
        <v>36000</v>
      </c>
      <c r="E68" s="11">
        <f t="shared" si="33"/>
        <v>36000</v>
      </c>
      <c r="F68" s="11">
        <f t="shared" si="33"/>
        <v>36000</v>
      </c>
      <c r="G68" s="11">
        <f t="shared" si="33"/>
        <v>36000</v>
      </c>
      <c r="H68" s="11">
        <f t="shared" si="33"/>
        <v>0</v>
      </c>
      <c r="I68" s="11">
        <f t="shared" si="33"/>
        <v>0</v>
      </c>
      <c r="J68" s="11">
        <f t="shared" si="33"/>
        <v>0</v>
      </c>
      <c r="K68" s="11">
        <f t="shared" si="33"/>
        <v>0</v>
      </c>
      <c r="L68" s="11">
        <f t="shared" si="33"/>
        <v>0</v>
      </c>
      <c r="M68" s="11" t="e">
        <f t="shared" si="33"/>
        <v>#VALUE!</v>
      </c>
      <c r="N68" s="11" t="e">
        <f t="shared" si="33"/>
        <v>#VALUE!</v>
      </c>
      <c r="O68" s="11" t="e">
        <f t="shared" si="33"/>
        <v>#VALUE!</v>
      </c>
      <c r="P68" s="11" t="e">
        <f t="shared" si="33"/>
        <v>#VALUE!</v>
      </c>
      <c r="Q68" s="11" t="e">
        <f t="shared" si="33"/>
        <v>#VALUE!</v>
      </c>
      <c r="R68" s="11" t="e">
        <f t="shared" si="33"/>
        <v>#VALUE!</v>
      </c>
      <c r="S68" s="11" t="e">
        <f t="shared" si="33"/>
        <v>#VALUE!</v>
      </c>
      <c r="T68" s="11" t="e">
        <f t="shared" si="33"/>
        <v>#VALUE!</v>
      </c>
      <c r="U68" s="11" t="e">
        <f t="shared" si="33"/>
        <v>#VALUE!</v>
      </c>
      <c r="V68" s="11" t="e">
        <f t="shared" si="33"/>
        <v>#VALUE!</v>
      </c>
      <c r="W68" s="11" t="e">
        <f t="shared" si="33"/>
        <v>#VALUE!</v>
      </c>
      <c r="X68" s="11" t="e">
        <f t="shared" si="33"/>
        <v>#VALUE!</v>
      </c>
      <c r="Y68" s="11" t="e">
        <f t="shared" si="33"/>
        <v>#VALUE!</v>
      </c>
      <c r="Z68" s="11" t="e">
        <f t="shared" si="33"/>
        <v>#VALUE!</v>
      </c>
      <c r="AA68" s="11" t="e">
        <f t="shared" si="33"/>
        <v>#VALUE!</v>
      </c>
      <c r="AB68" s="11" t="e">
        <f t="shared" si="33"/>
        <v>#VALUE!</v>
      </c>
    </row>
    <row r="69" spans="4:28" s="10" customFormat="1" ht="12.75" hidden="1">
      <c r="D69" s="11">
        <f aca="true" t="shared" si="34" ref="D69:AB69">IF($B$23-D$30+$C$30&gt;=0,SLN($D$117+$D$120,0,$B$23),0)</f>
        <v>0</v>
      </c>
      <c r="E69" s="11">
        <f t="shared" si="34"/>
        <v>0</v>
      </c>
      <c r="F69" s="11">
        <f t="shared" si="34"/>
        <v>0</v>
      </c>
      <c r="G69" s="11">
        <f t="shared" si="34"/>
        <v>0</v>
      </c>
      <c r="H69" s="11">
        <f t="shared" si="34"/>
        <v>0</v>
      </c>
      <c r="I69" s="11">
        <f t="shared" si="34"/>
        <v>0</v>
      </c>
      <c r="J69" s="11">
        <f t="shared" si="34"/>
        <v>0</v>
      </c>
      <c r="K69" s="11">
        <f t="shared" si="34"/>
        <v>0</v>
      </c>
      <c r="L69" s="11">
        <f t="shared" si="34"/>
        <v>0</v>
      </c>
      <c r="M69" s="11" t="e">
        <f t="shared" si="34"/>
        <v>#VALUE!</v>
      </c>
      <c r="N69" s="11" t="e">
        <f t="shared" si="34"/>
        <v>#VALUE!</v>
      </c>
      <c r="O69" s="11" t="e">
        <f t="shared" si="34"/>
        <v>#VALUE!</v>
      </c>
      <c r="P69" s="11" t="e">
        <f t="shared" si="34"/>
        <v>#VALUE!</v>
      </c>
      <c r="Q69" s="11" t="e">
        <f t="shared" si="34"/>
        <v>#VALUE!</v>
      </c>
      <c r="R69" s="11" t="e">
        <f t="shared" si="34"/>
        <v>#VALUE!</v>
      </c>
      <c r="S69" s="11" t="e">
        <f t="shared" si="34"/>
        <v>#VALUE!</v>
      </c>
      <c r="T69" s="11" t="e">
        <f t="shared" si="34"/>
        <v>#VALUE!</v>
      </c>
      <c r="U69" s="11" t="e">
        <f t="shared" si="34"/>
        <v>#VALUE!</v>
      </c>
      <c r="V69" s="11" t="e">
        <f t="shared" si="34"/>
        <v>#VALUE!</v>
      </c>
      <c r="W69" s="11" t="e">
        <f t="shared" si="34"/>
        <v>#VALUE!</v>
      </c>
      <c r="X69" s="11" t="e">
        <f t="shared" si="34"/>
        <v>#VALUE!</v>
      </c>
      <c r="Y69" s="11" t="e">
        <f t="shared" si="34"/>
        <v>#VALUE!</v>
      </c>
      <c r="Z69" s="11" t="e">
        <f t="shared" si="34"/>
        <v>#VALUE!</v>
      </c>
      <c r="AA69" s="11" t="e">
        <f t="shared" si="34"/>
        <v>#VALUE!</v>
      </c>
      <c r="AB69" s="11" t="e">
        <f t="shared" si="34"/>
        <v>#VALUE!</v>
      </c>
    </row>
    <row r="70" spans="5:28" s="10" customFormat="1" ht="12.75" hidden="1">
      <c r="E70" s="11">
        <f aca="true" t="shared" si="35" ref="E70:AB70">IF($B$23-E$30+$D$30&gt;=0,SLN($E$117+$E$120,0,$B$23),0)</f>
        <v>0</v>
      </c>
      <c r="F70" s="11">
        <f t="shared" si="35"/>
        <v>0</v>
      </c>
      <c r="G70" s="11">
        <f t="shared" si="35"/>
        <v>0</v>
      </c>
      <c r="H70" s="11">
        <f t="shared" si="35"/>
        <v>0</v>
      </c>
      <c r="I70" s="11">
        <f t="shared" si="35"/>
        <v>0</v>
      </c>
      <c r="J70" s="11">
        <f t="shared" si="35"/>
        <v>0</v>
      </c>
      <c r="K70" s="11">
        <f t="shared" si="35"/>
        <v>0</v>
      </c>
      <c r="L70" s="11">
        <f t="shared" si="35"/>
        <v>0</v>
      </c>
      <c r="M70" s="11" t="e">
        <f t="shared" si="35"/>
        <v>#VALUE!</v>
      </c>
      <c r="N70" s="11" t="e">
        <f t="shared" si="35"/>
        <v>#VALUE!</v>
      </c>
      <c r="O70" s="11" t="e">
        <f t="shared" si="35"/>
        <v>#VALUE!</v>
      </c>
      <c r="P70" s="11" t="e">
        <f t="shared" si="35"/>
        <v>#VALUE!</v>
      </c>
      <c r="Q70" s="11" t="e">
        <f t="shared" si="35"/>
        <v>#VALUE!</v>
      </c>
      <c r="R70" s="11" t="e">
        <f t="shared" si="35"/>
        <v>#VALUE!</v>
      </c>
      <c r="S70" s="11" t="e">
        <f t="shared" si="35"/>
        <v>#VALUE!</v>
      </c>
      <c r="T70" s="11" t="e">
        <f t="shared" si="35"/>
        <v>#VALUE!</v>
      </c>
      <c r="U70" s="11" t="e">
        <f t="shared" si="35"/>
        <v>#VALUE!</v>
      </c>
      <c r="V70" s="11" t="e">
        <f t="shared" si="35"/>
        <v>#VALUE!</v>
      </c>
      <c r="W70" s="11" t="e">
        <f t="shared" si="35"/>
        <v>#VALUE!</v>
      </c>
      <c r="X70" s="11" t="e">
        <f t="shared" si="35"/>
        <v>#VALUE!</v>
      </c>
      <c r="Y70" s="11" t="e">
        <f t="shared" si="35"/>
        <v>#VALUE!</v>
      </c>
      <c r="Z70" s="11" t="e">
        <f t="shared" si="35"/>
        <v>#VALUE!</v>
      </c>
      <c r="AA70" s="11" t="e">
        <f t="shared" si="35"/>
        <v>#VALUE!</v>
      </c>
      <c r="AB70" s="11" t="e">
        <f t="shared" si="35"/>
        <v>#VALUE!</v>
      </c>
    </row>
    <row r="71" spans="6:28" s="10" customFormat="1" ht="12.75" hidden="1">
      <c r="F71" s="11">
        <f aca="true" t="shared" si="36" ref="F71:AB71">IF($B$23-F$30+$E$30&gt;=0,SLN($F$117+$F$120,0,$B$23),0)</f>
        <v>0</v>
      </c>
      <c r="G71" s="11">
        <f t="shared" si="36"/>
        <v>0</v>
      </c>
      <c r="H71" s="11">
        <f t="shared" si="36"/>
        <v>0</v>
      </c>
      <c r="I71" s="11">
        <f t="shared" si="36"/>
        <v>0</v>
      </c>
      <c r="J71" s="11">
        <f t="shared" si="36"/>
        <v>0</v>
      </c>
      <c r="K71" s="11">
        <f t="shared" si="36"/>
        <v>0</v>
      </c>
      <c r="L71" s="11">
        <f t="shared" si="36"/>
        <v>0</v>
      </c>
      <c r="M71" s="11" t="e">
        <f t="shared" si="36"/>
        <v>#VALUE!</v>
      </c>
      <c r="N71" s="11" t="e">
        <f t="shared" si="36"/>
        <v>#VALUE!</v>
      </c>
      <c r="O71" s="11" t="e">
        <f t="shared" si="36"/>
        <v>#VALUE!</v>
      </c>
      <c r="P71" s="11" t="e">
        <f t="shared" si="36"/>
        <v>#VALUE!</v>
      </c>
      <c r="Q71" s="11" t="e">
        <f t="shared" si="36"/>
        <v>#VALUE!</v>
      </c>
      <c r="R71" s="11" t="e">
        <f t="shared" si="36"/>
        <v>#VALUE!</v>
      </c>
      <c r="S71" s="11" t="e">
        <f t="shared" si="36"/>
        <v>#VALUE!</v>
      </c>
      <c r="T71" s="11" t="e">
        <f t="shared" si="36"/>
        <v>#VALUE!</v>
      </c>
      <c r="U71" s="11" t="e">
        <f t="shared" si="36"/>
        <v>#VALUE!</v>
      </c>
      <c r="V71" s="11" t="e">
        <f t="shared" si="36"/>
        <v>#VALUE!</v>
      </c>
      <c r="W71" s="11" t="e">
        <f t="shared" si="36"/>
        <v>#VALUE!</v>
      </c>
      <c r="X71" s="11" t="e">
        <f t="shared" si="36"/>
        <v>#VALUE!</v>
      </c>
      <c r="Y71" s="11" t="e">
        <f t="shared" si="36"/>
        <v>#VALUE!</v>
      </c>
      <c r="Z71" s="11" t="e">
        <f t="shared" si="36"/>
        <v>#VALUE!</v>
      </c>
      <c r="AA71" s="11" t="e">
        <f t="shared" si="36"/>
        <v>#VALUE!</v>
      </c>
      <c r="AB71" s="11" t="e">
        <f t="shared" si="36"/>
        <v>#VALUE!</v>
      </c>
    </row>
    <row r="72" spans="7:28" s="10" customFormat="1" ht="12.75" hidden="1">
      <c r="G72" s="11">
        <f aca="true" t="shared" si="37" ref="G72:AB72">IF($B$23-G$30+$F$30&gt;=0,SLN($G$117+$G$120,0,$B$23),0)</f>
        <v>0</v>
      </c>
      <c r="H72" s="11">
        <f t="shared" si="37"/>
        <v>0</v>
      </c>
      <c r="I72" s="11">
        <f t="shared" si="37"/>
        <v>0</v>
      </c>
      <c r="J72" s="11">
        <f t="shared" si="37"/>
        <v>0</v>
      </c>
      <c r="K72" s="11">
        <f t="shared" si="37"/>
        <v>0</v>
      </c>
      <c r="L72" s="11">
        <f t="shared" si="37"/>
        <v>0</v>
      </c>
      <c r="M72" s="11" t="e">
        <f t="shared" si="37"/>
        <v>#VALUE!</v>
      </c>
      <c r="N72" s="11" t="e">
        <f t="shared" si="37"/>
        <v>#VALUE!</v>
      </c>
      <c r="O72" s="11" t="e">
        <f t="shared" si="37"/>
        <v>#VALUE!</v>
      </c>
      <c r="P72" s="11" t="e">
        <f t="shared" si="37"/>
        <v>#VALUE!</v>
      </c>
      <c r="Q72" s="11" t="e">
        <f t="shared" si="37"/>
        <v>#VALUE!</v>
      </c>
      <c r="R72" s="11" t="e">
        <f t="shared" si="37"/>
        <v>#VALUE!</v>
      </c>
      <c r="S72" s="11" t="e">
        <f t="shared" si="37"/>
        <v>#VALUE!</v>
      </c>
      <c r="T72" s="11" t="e">
        <f t="shared" si="37"/>
        <v>#VALUE!</v>
      </c>
      <c r="U72" s="11" t="e">
        <f t="shared" si="37"/>
        <v>#VALUE!</v>
      </c>
      <c r="V72" s="11" t="e">
        <f t="shared" si="37"/>
        <v>#VALUE!</v>
      </c>
      <c r="W72" s="11" t="e">
        <f t="shared" si="37"/>
        <v>#VALUE!</v>
      </c>
      <c r="X72" s="11" t="e">
        <f t="shared" si="37"/>
        <v>#VALUE!</v>
      </c>
      <c r="Y72" s="11" t="e">
        <f t="shared" si="37"/>
        <v>#VALUE!</v>
      </c>
      <c r="Z72" s="11" t="e">
        <f t="shared" si="37"/>
        <v>#VALUE!</v>
      </c>
      <c r="AA72" s="11" t="e">
        <f t="shared" si="37"/>
        <v>#VALUE!</v>
      </c>
      <c r="AB72" s="11" t="e">
        <f t="shared" si="37"/>
        <v>#VALUE!</v>
      </c>
    </row>
    <row r="73" spans="8:28" s="10" customFormat="1" ht="12.75" hidden="1">
      <c r="H73" s="11">
        <f aca="true" t="shared" si="38" ref="H73:AB73">IF($B$23-H$30+$G$30&gt;=0,SLN($H$117+$H$120,0,$B$23),0)</f>
        <v>4611.796578703548</v>
      </c>
      <c r="I73" s="11">
        <f t="shared" si="38"/>
        <v>4611.796578703548</v>
      </c>
      <c r="J73" s="11">
        <f t="shared" si="38"/>
        <v>4611.796578703548</v>
      </c>
      <c r="K73" s="11">
        <f t="shared" si="38"/>
        <v>4611.796578703548</v>
      </c>
      <c r="L73" s="11">
        <f t="shared" si="38"/>
        <v>4611.796578703548</v>
      </c>
      <c r="M73" s="11" t="e">
        <f t="shared" si="38"/>
        <v>#VALUE!</v>
      </c>
      <c r="N73" s="11" t="e">
        <f t="shared" si="38"/>
        <v>#VALUE!</v>
      </c>
      <c r="O73" s="11" t="e">
        <f t="shared" si="38"/>
        <v>#VALUE!</v>
      </c>
      <c r="P73" s="11" t="e">
        <f t="shared" si="38"/>
        <v>#VALUE!</v>
      </c>
      <c r="Q73" s="11" t="e">
        <f t="shared" si="38"/>
        <v>#VALUE!</v>
      </c>
      <c r="R73" s="11" t="e">
        <f t="shared" si="38"/>
        <v>#VALUE!</v>
      </c>
      <c r="S73" s="11" t="e">
        <f t="shared" si="38"/>
        <v>#VALUE!</v>
      </c>
      <c r="T73" s="11" t="e">
        <f t="shared" si="38"/>
        <v>#VALUE!</v>
      </c>
      <c r="U73" s="11" t="e">
        <f t="shared" si="38"/>
        <v>#VALUE!</v>
      </c>
      <c r="V73" s="11" t="e">
        <f t="shared" si="38"/>
        <v>#VALUE!</v>
      </c>
      <c r="W73" s="11" t="e">
        <f t="shared" si="38"/>
        <v>#VALUE!</v>
      </c>
      <c r="X73" s="11" t="e">
        <f t="shared" si="38"/>
        <v>#VALUE!</v>
      </c>
      <c r="Y73" s="11" t="e">
        <f t="shared" si="38"/>
        <v>#VALUE!</v>
      </c>
      <c r="Z73" s="11" t="e">
        <f t="shared" si="38"/>
        <v>#VALUE!</v>
      </c>
      <c r="AA73" s="11" t="e">
        <f t="shared" si="38"/>
        <v>#VALUE!</v>
      </c>
      <c r="AB73" s="11" t="e">
        <f t="shared" si="38"/>
        <v>#VALUE!</v>
      </c>
    </row>
    <row r="74" spans="9:28" s="10" customFormat="1" ht="12.75" hidden="1">
      <c r="I74" s="11">
        <f aca="true" t="shared" si="39" ref="I74:AB74">IF($B$23-I$30+$H$30&gt;=0,SLN($I$117+$I$120,0,$B$23),0)</f>
        <v>0</v>
      </c>
      <c r="J74" s="11">
        <f t="shared" si="39"/>
        <v>0</v>
      </c>
      <c r="K74" s="11">
        <f t="shared" si="39"/>
        <v>0</v>
      </c>
      <c r="L74" s="11">
        <f t="shared" si="39"/>
        <v>0</v>
      </c>
      <c r="M74" s="11" t="e">
        <f t="shared" si="39"/>
        <v>#VALUE!</v>
      </c>
      <c r="N74" s="11" t="e">
        <f t="shared" si="39"/>
        <v>#VALUE!</v>
      </c>
      <c r="O74" s="11" t="e">
        <f t="shared" si="39"/>
        <v>#VALUE!</v>
      </c>
      <c r="P74" s="11" t="e">
        <f t="shared" si="39"/>
        <v>#VALUE!</v>
      </c>
      <c r="Q74" s="11" t="e">
        <f t="shared" si="39"/>
        <v>#VALUE!</v>
      </c>
      <c r="R74" s="11" t="e">
        <f t="shared" si="39"/>
        <v>#VALUE!</v>
      </c>
      <c r="S74" s="11" t="e">
        <f t="shared" si="39"/>
        <v>#VALUE!</v>
      </c>
      <c r="T74" s="11" t="e">
        <f t="shared" si="39"/>
        <v>#VALUE!</v>
      </c>
      <c r="U74" s="11" t="e">
        <f t="shared" si="39"/>
        <v>#VALUE!</v>
      </c>
      <c r="V74" s="11" t="e">
        <f t="shared" si="39"/>
        <v>#VALUE!</v>
      </c>
      <c r="W74" s="11" t="e">
        <f t="shared" si="39"/>
        <v>#VALUE!</v>
      </c>
      <c r="X74" s="11" t="e">
        <f t="shared" si="39"/>
        <v>#VALUE!</v>
      </c>
      <c r="Y74" s="11" t="e">
        <f t="shared" si="39"/>
        <v>#VALUE!</v>
      </c>
      <c r="Z74" s="11" t="e">
        <f t="shared" si="39"/>
        <v>#VALUE!</v>
      </c>
      <c r="AA74" s="11" t="e">
        <f t="shared" si="39"/>
        <v>#VALUE!</v>
      </c>
      <c r="AB74" s="11" t="e">
        <f t="shared" si="39"/>
        <v>#VALUE!</v>
      </c>
    </row>
    <row r="75" spans="10:28" s="10" customFormat="1" ht="12.75" hidden="1">
      <c r="J75" s="11">
        <f aca="true" t="shared" si="40" ref="J75:AB75">IF($B$23-J$30+$I$30&gt;=0,SLN($J$117+$J$120,0,$B$23),0)</f>
        <v>0</v>
      </c>
      <c r="K75" s="11">
        <f t="shared" si="40"/>
        <v>0</v>
      </c>
      <c r="L75" s="11">
        <f t="shared" si="40"/>
        <v>0</v>
      </c>
      <c r="M75" s="11" t="e">
        <f t="shared" si="40"/>
        <v>#VALUE!</v>
      </c>
      <c r="N75" s="11" t="e">
        <f t="shared" si="40"/>
        <v>#VALUE!</v>
      </c>
      <c r="O75" s="11" t="e">
        <f t="shared" si="40"/>
        <v>#VALUE!</v>
      </c>
      <c r="P75" s="11" t="e">
        <f t="shared" si="40"/>
        <v>#VALUE!</v>
      </c>
      <c r="Q75" s="11" t="e">
        <f t="shared" si="40"/>
        <v>#VALUE!</v>
      </c>
      <c r="R75" s="11" t="e">
        <f t="shared" si="40"/>
        <v>#VALUE!</v>
      </c>
      <c r="S75" s="11" t="e">
        <f t="shared" si="40"/>
        <v>#VALUE!</v>
      </c>
      <c r="T75" s="11" t="e">
        <f t="shared" si="40"/>
        <v>#VALUE!</v>
      </c>
      <c r="U75" s="11" t="e">
        <f t="shared" si="40"/>
        <v>#VALUE!</v>
      </c>
      <c r="V75" s="11" t="e">
        <f t="shared" si="40"/>
        <v>#VALUE!</v>
      </c>
      <c r="W75" s="11" t="e">
        <f t="shared" si="40"/>
        <v>#VALUE!</v>
      </c>
      <c r="X75" s="11" t="e">
        <f t="shared" si="40"/>
        <v>#VALUE!</v>
      </c>
      <c r="Y75" s="11" t="e">
        <f t="shared" si="40"/>
        <v>#VALUE!</v>
      </c>
      <c r="Z75" s="11" t="e">
        <f t="shared" si="40"/>
        <v>#VALUE!</v>
      </c>
      <c r="AA75" s="11" t="e">
        <f t="shared" si="40"/>
        <v>#VALUE!</v>
      </c>
      <c r="AB75" s="11" t="e">
        <f t="shared" si="40"/>
        <v>#VALUE!</v>
      </c>
    </row>
    <row r="76" spans="11:28" s="10" customFormat="1" ht="12.75" hidden="1">
      <c r="K76" s="11">
        <f aca="true" t="shared" si="41" ref="K76:AB76">IF($B$23-K$30+$J$30&gt;=0,SLN($K$117+$K$120,0,$B$23),0)</f>
        <v>0</v>
      </c>
      <c r="L76" s="11">
        <f t="shared" si="41"/>
        <v>0</v>
      </c>
      <c r="M76" s="11" t="e">
        <f t="shared" si="41"/>
        <v>#VALUE!</v>
      </c>
      <c r="N76" s="11" t="e">
        <f t="shared" si="41"/>
        <v>#VALUE!</v>
      </c>
      <c r="O76" s="11" t="e">
        <f t="shared" si="41"/>
        <v>#VALUE!</v>
      </c>
      <c r="P76" s="11" t="e">
        <f t="shared" si="41"/>
        <v>#VALUE!</v>
      </c>
      <c r="Q76" s="11" t="e">
        <f t="shared" si="41"/>
        <v>#VALUE!</v>
      </c>
      <c r="R76" s="11" t="e">
        <f t="shared" si="41"/>
        <v>#VALUE!</v>
      </c>
      <c r="S76" s="11" t="e">
        <f t="shared" si="41"/>
        <v>#VALUE!</v>
      </c>
      <c r="T76" s="11" t="e">
        <f t="shared" si="41"/>
        <v>#VALUE!</v>
      </c>
      <c r="U76" s="11" t="e">
        <f t="shared" si="41"/>
        <v>#VALUE!</v>
      </c>
      <c r="V76" s="11" t="e">
        <f t="shared" si="41"/>
        <v>#VALUE!</v>
      </c>
      <c r="W76" s="11" t="e">
        <f t="shared" si="41"/>
        <v>#VALUE!</v>
      </c>
      <c r="X76" s="11" t="e">
        <f t="shared" si="41"/>
        <v>#VALUE!</v>
      </c>
      <c r="Y76" s="11" t="e">
        <f t="shared" si="41"/>
        <v>#VALUE!</v>
      </c>
      <c r="Z76" s="11" t="e">
        <f t="shared" si="41"/>
        <v>#VALUE!</v>
      </c>
      <c r="AA76" s="11" t="e">
        <f t="shared" si="41"/>
        <v>#VALUE!</v>
      </c>
      <c r="AB76" s="11" t="e">
        <f t="shared" si="41"/>
        <v>#VALUE!</v>
      </c>
    </row>
    <row r="77" spans="12:28" s="10" customFormat="1" ht="12.75" hidden="1">
      <c r="L77" s="11">
        <f aca="true" t="shared" si="42" ref="L77:AB77">IF($B$23-L$30+$K$30&gt;=0,SLN($L$117+$L$120,0,$B$23),0)</f>
        <v>0</v>
      </c>
      <c r="M77" s="11" t="e">
        <f t="shared" si="42"/>
        <v>#VALUE!</v>
      </c>
      <c r="N77" s="11" t="e">
        <f t="shared" si="42"/>
        <v>#VALUE!</v>
      </c>
      <c r="O77" s="11" t="e">
        <f t="shared" si="42"/>
        <v>#VALUE!</v>
      </c>
      <c r="P77" s="11" t="e">
        <f t="shared" si="42"/>
        <v>#VALUE!</v>
      </c>
      <c r="Q77" s="11" t="e">
        <f t="shared" si="42"/>
        <v>#VALUE!</v>
      </c>
      <c r="R77" s="11" t="e">
        <f t="shared" si="42"/>
        <v>#VALUE!</v>
      </c>
      <c r="S77" s="11" t="e">
        <f t="shared" si="42"/>
        <v>#VALUE!</v>
      </c>
      <c r="T77" s="11" t="e">
        <f t="shared" si="42"/>
        <v>#VALUE!</v>
      </c>
      <c r="U77" s="11" t="e">
        <f t="shared" si="42"/>
        <v>#VALUE!</v>
      </c>
      <c r="V77" s="11" t="e">
        <f t="shared" si="42"/>
        <v>#VALUE!</v>
      </c>
      <c r="W77" s="11" t="e">
        <f t="shared" si="42"/>
        <v>#VALUE!</v>
      </c>
      <c r="X77" s="11" t="e">
        <f t="shared" si="42"/>
        <v>#VALUE!</v>
      </c>
      <c r="Y77" s="11" t="e">
        <f t="shared" si="42"/>
        <v>#VALUE!</v>
      </c>
      <c r="Z77" s="11" t="e">
        <f t="shared" si="42"/>
        <v>#VALUE!</v>
      </c>
      <c r="AA77" s="11" t="e">
        <f t="shared" si="42"/>
        <v>#VALUE!</v>
      </c>
      <c r="AB77" s="11" t="e">
        <f t="shared" si="42"/>
        <v>#VALUE!</v>
      </c>
    </row>
    <row r="78" spans="13:28" s="10" customFormat="1" ht="12.75" hidden="1">
      <c r="M78" s="11" t="e">
        <f aca="true" t="shared" si="43" ref="M78:AB78">IF($B$23-M$30+$L$30&gt;=0,SLN($M$117+$M$120,0,$B$23),0)</f>
        <v>#VALUE!</v>
      </c>
      <c r="N78" s="11" t="e">
        <f t="shared" si="43"/>
        <v>#VALUE!</v>
      </c>
      <c r="O78" s="11" t="e">
        <f t="shared" si="43"/>
        <v>#VALUE!</v>
      </c>
      <c r="P78" s="11" t="e">
        <f t="shared" si="43"/>
        <v>#VALUE!</v>
      </c>
      <c r="Q78" s="11" t="e">
        <f t="shared" si="43"/>
        <v>#VALUE!</v>
      </c>
      <c r="R78" s="11" t="e">
        <f t="shared" si="43"/>
        <v>#VALUE!</v>
      </c>
      <c r="S78" s="11" t="e">
        <f t="shared" si="43"/>
        <v>#VALUE!</v>
      </c>
      <c r="T78" s="11" t="e">
        <f t="shared" si="43"/>
        <v>#VALUE!</v>
      </c>
      <c r="U78" s="11" t="e">
        <f t="shared" si="43"/>
        <v>#VALUE!</v>
      </c>
      <c r="V78" s="11" t="e">
        <f t="shared" si="43"/>
        <v>#VALUE!</v>
      </c>
      <c r="W78" s="11" t="e">
        <f t="shared" si="43"/>
        <v>#VALUE!</v>
      </c>
      <c r="X78" s="11" t="e">
        <f t="shared" si="43"/>
        <v>#VALUE!</v>
      </c>
      <c r="Y78" s="11" t="e">
        <f t="shared" si="43"/>
        <v>#VALUE!</v>
      </c>
      <c r="Z78" s="11" t="e">
        <f t="shared" si="43"/>
        <v>#VALUE!</v>
      </c>
      <c r="AA78" s="11" t="e">
        <f t="shared" si="43"/>
        <v>#VALUE!</v>
      </c>
      <c r="AB78" s="11" t="e">
        <f t="shared" si="43"/>
        <v>#VALUE!</v>
      </c>
    </row>
    <row r="79" spans="14:28" s="10" customFormat="1" ht="12.75" hidden="1">
      <c r="N79" s="11" t="e">
        <f aca="true" t="shared" si="44" ref="N79:AB79">IF($B$23-N$30+$M$30&gt;=0,SLN($N$117+$N$120,0,$B$23),0)</f>
        <v>#VALUE!</v>
      </c>
      <c r="O79" s="11" t="e">
        <f t="shared" si="44"/>
        <v>#VALUE!</v>
      </c>
      <c r="P79" s="11" t="e">
        <f t="shared" si="44"/>
        <v>#VALUE!</v>
      </c>
      <c r="Q79" s="11" t="e">
        <f t="shared" si="44"/>
        <v>#VALUE!</v>
      </c>
      <c r="R79" s="11" t="e">
        <f t="shared" si="44"/>
        <v>#VALUE!</v>
      </c>
      <c r="S79" s="11" t="e">
        <f t="shared" si="44"/>
        <v>#VALUE!</v>
      </c>
      <c r="T79" s="11" t="e">
        <f t="shared" si="44"/>
        <v>#VALUE!</v>
      </c>
      <c r="U79" s="11" t="e">
        <f t="shared" si="44"/>
        <v>#VALUE!</v>
      </c>
      <c r="V79" s="11" t="e">
        <f t="shared" si="44"/>
        <v>#VALUE!</v>
      </c>
      <c r="W79" s="11" t="e">
        <f t="shared" si="44"/>
        <v>#VALUE!</v>
      </c>
      <c r="X79" s="11" t="e">
        <f t="shared" si="44"/>
        <v>#VALUE!</v>
      </c>
      <c r="Y79" s="11" t="e">
        <f t="shared" si="44"/>
        <v>#VALUE!</v>
      </c>
      <c r="Z79" s="11" t="e">
        <f t="shared" si="44"/>
        <v>#VALUE!</v>
      </c>
      <c r="AA79" s="11" t="e">
        <f t="shared" si="44"/>
        <v>#VALUE!</v>
      </c>
      <c r="AB79" s="11" t="e">
        <f t="shared" si="44"/>
        <v>#VALUE!</v>
      </c>
    </row>
    <row r="80" spans="15:28" s="10" customFormat="1" ht="12.75" hidden="1">
      <c r="O80" s="11" t="e">
        <f aca="true" t="shared" si="45" ref="O80:AB80">IF($B$23-O$30+$N$30&gt;=0,SLN($O$117+$O$120,0,$B$23),0)</f>
        <v>#VALUE!</v>
      </c>
      <c r="P80" s="11" t="e">
        <f t="shared" si="45"/>
        <v>#VALUE!</v>
      </c>
      <c r="Q80" s="11" t="e">
        <f t="shared" si="45"/>
        <v>#VALUE!</v>
      </c>
      <c r="R80" s="11" t="e">
        <f t="shared" si="45"/>
        <v>#VALUE!</v>
      </c>
      <c r="S80" s="11" t="e">
        <f t="shared" si="45"/>
        <v>#VALUE!</v>
      </c>
      <c r="T80" s="11" t="e">
        <f t="shared" si="45"/>
        <v>#VALUE!</v>
      </c>
      <c r="U80" s="11" t="e">
        <f t="shared" si="45"/>
        <v>#VALUE!</v>
      </c>
      <c r="V80" s="11" t="e">
        <f t="shared" si="45"/>
        <v>#VALUE!</v>
      </c>
      <c r="W80" s="11" t="e">
        <f t="shared" si="45"/>
        <v>#VALUE!</v>
      </c>
      <c r="X80" s="11" t="e">
        <f t="shared" si="45"/>
        <v>#VALUE!</v>
      </c>
      <c r="Y80" s="11" t="e">
        <f t="shared" si="45"/>
        <v>#VALUE!</v>
      </c>
      <c r="Z80" s="11" t="e">
        <f t="shared" si="45"/>
        <v>#VALUE!</v>
      </c>
      <c r="AA80" s="11" t="e">
        <f t="shared" si="45"/>
        <v>#VALUE!</v>
      </c>
      <c r="AB80" s="11" t="e">
        <f t="shared" si="45"/>
        <v>#VALUE!</v>
      </c>
    </row>
    <row r="81" spans="16:28" s="10" customFormat="1" ht="12.75" hidden="1">
      <c r="P81" s="11" t="e">
        <f aca="true" t="shared" si="46" ref="P81:AB81">IF($B$23-P$30+$O$30&gt;=0,SLN($P$117+$P$120,0,$B$23),0)</f>
        <v>#VALUE!</v>
      </c>
      <c r="Q81" s="11" t="e">
        <f t="shared" si="46"/>
        <v>#VALUE!</v>
      </c>
      <c r="R81" s="11" t="e">
        <f t="shared" si="46"/>
        <v>#VALUE!</v>
      </c>
      <c r="S81" s="11" t="e">
        <f t="shared" si="46"/>
        <v>#VALUE!</v>
      </c>
      <c r="T81" s="11" t="e">
        <f t="shared" si="46"/>
        <v>#VALUE!</v>
      </c>
      <c r="U81" s="11" t="e">
        <f t="shared" si="46"/>
        <v>#VALUE!</v>
      </c>
      <c r="V81" s="11" t="e">
        <f t="shared" si="46"/>
        <v>#VALUE!</v>
      </c>
      <c r="W81" s="11" t="e">
        <f t="shared" si="46"/>
        <v>#VALUE!</v>
      </c>
      <c r="X81" s="11" t="e">
        <f t="shared" si="46"/>
        <v>#VALUE!</v>
      </c>
      <c r="Y81" s="11" t="e">
        <f t="shared" si="46"/>
        <v>#VALUE!</v>
      </c>
      <c r="Z81" s="11" t="e">
        <f t="shared" si="46"/>
        <v>#VALUE!</v>
      </c>
      <c r="AA81" s="11" t="e">
        <f t="shared" si="46"/>
        <v>#VALUE!</v>
      </c>
      <c r="AB81" s="11" t="e">
        <f t="shared" si="46"/>
        <v>#VALUE!</v>
      </c>
    </row>
    <row r="82" spans="17:28" s="10" customFormat="1" ht="12.75" hidden="1">
      <c r="Q82" s="11" t="e">
        <f aca="true" t="shared" si="47" ref="Q82:AB82">IF($B$23-Q$30+$P$30&gt;=0,SLN($Q$117+$Q$120,0,$B$23),0)</f>
        <v>#VALUE!</v>
      </c>
      <c r="R82" s="11" t="e">
        <f t="shared" si="47"/>
        <v>#VALUE!</v>
      </c>
      <c r="S82" s="11" t="e">
        <f t="shared" si="47"/>
        <v>#VALUE!</v>
      </c>
      <c r="T82" s="11" t="e">
        <f t="shared" si="47"/>
        <v>#VALUE!</v>
      </c>
      <c r="U82" s="11" t="e">
        <f t="shared" si="47"/>
        <v>#VALUE!</v>
      </c>
      <c r="V82" s="11" t="e">
        <f t="shared" si="47"/>
        <v>#VALUE!</v>
      </c>
      <c r="W82" s="11" t="e">
        <f t="shared" si="47"/>
        <v>#VALUE!</v>
      </c>
      <c r="X82" s="11" t="e">
        <f t="shared" si="47"/>
        <v>#VALUE!</v>
      </c>
      <c r="Y82" s="11" t="e">
        <f t="shared" si="47"/>
        <v>#VALUE!</v>
      </c>
      <c r="Z82" s="11" t="e">
        <f t="shared" si="47"/>
        <v>#VALUE!</v>
      </c>
      <c r="AA82" s="11" t="e">
        <f t="shared" si="47"/>
        <v>#VALUE!</v>
      </c>
      <c r="AB82" s="11" t="e">
        <f t="shared" si="47"/>
        <v>#VALUE!</v>
      </c>
    </row>
    <row r="83" spans="18:28" s="10" customFormat="1" ht="12.75" hidden="1">
      <c r="R83" s="11" t="e">
        <f aca="true" t="shared" si="48" ref="R83:AB83">IF($B$23-R$30+$Q$30&gt;=0,SLN($R$117+$R$120,0,$B$23),0)</f>
        <v>#VALUE!</v>
      </c>
      <c r="S83" s="11" t="e">
        <f t="shared" si="48"/>
        <v>#VALUE!</v>
      </c>
      <c r="T83" s="11" t="e">
        <f t="shared" si="48"/>
        <v>#VALUE!</v>
      </c>
      <c r="U83" s="11" t="e">
        <f t="shared" si="48"/>
        <v>#VALUE!</v>
      </c>
      <c r="V83" s="11" t="e">
        <f t="shared" si="48"/>
        <v>#VALUE!</v>
      </c>
      <c r="W83" s="11" t="e">
        <f t="shared" si="48"/>
        <v>#VALUE!</v>
      </c>
      <c r="X83" s="11" t="e">
        <f t="shared" si="48"/>
        <v>#VALUE!</v>
      </c>
      <c r="Y83" s="11" t="e">
        <f t="shared" si="48"/>
        <v>#VALUE!</v>
      </c>
      <c r="Z83" s="11" t="e">
        <f t="shared" si="48"/>
        <v>#VALUE!</v>
      </c>
      <c r="AA83" s="11" t="e">
        <f t="shared" si="48"/>
        <v>#VALUE!</v>
      </c>
      <c r="AB83" s="11" t="e">
        <f t="shared" si="48"/>
        <v>#VALUE!</v>
      </c>
    </row>
    <row r="84" spans="19:28" s="10" customFormat="1" ht="12.75" hidden="1">
      <c r="S84" s="11" t="e">
        <f aca="true" t="shared" si="49" ref="S84:AB84">IF($B$23-S$30+$R$30&gt;=0,SLN($S$117+$S$120,0,$B$23),0)</f>
        <v>#VALUE!</v>
      </c>
      <c r="T84" s="11" t="e">
        <f t="shared" si="49"/>
        <v>#VALUE!</v>
      </c>
      <c r="U84" s="11" t="e">
        <f t="shared" si="49"/>
        <v>#VALUE!</v>
      </c>
      <c r="V84" s="11" t="e">
        <f t="shared" si="49"/>
        <v>#VALUE!</v>
      </c>
      <c r="W84" s="11" t="e">
        <f t="shared" si="49"/>
        <v>#VALUE!</v>
      </c>
      <c r="X84" s="11" t="e">
        <f t="shared" si="49"/>
        <v>#VALUE!</v>
      </c>
      <c r="Y84" s="11" t="e">
        <f t="shared" si="49"/>
        <v>#VALUE!</v>
      </c>
      <c r="Z84" s="11" t="e">
        <f t="shared" si="49"/>
        <v>#VALUE!</v>
      </c>
      <c r="AA84" s="11" t="e">
        <f t="shared" si="49"/>
        <v>#VALUE!</v>
      </c>
      <c r="AB84" s="11" t="e">
        <f t="shared" si="49"/>
        <v>#VALUE!</v>
      </c>
    </row>
    <row r="85" spans="20:28" s="10" customFormat="1" ht="12.75" hidden="1">
      <c r="T85" s="11" t="e">
        <f aca="true" t="shared" si="50" ref="T85:AB85">IF($B$23-T$30+$S$30&gt;=0,SLN($T$117+$T$120,0,$B$23),0)</f>
        <v>#VALUE!</v>
      </c>
      <c r="U85" s="11" t="e">
        <f t="shared" si="50"/>
        <v>#VALUE!</v>
      </c>
      <c r="V85" s="11" t="e">
        <f t="shared" si="50"/>
        <v>#VALUE!</v>
      </c>
      <c r="W85" s="11" t="e">
        <f t="shared" si="50"/>
        <v>#VALUE!</v>
      </c>
      <c r="X85" s="11" t="e">
        <f t="shared" si="50"/>
        <v>#VALUE!</v>
      </c>
      <c r="Y85" s="11" t="e">
        <f t="shared" si="50"/>
        <v>#VALUE!</v>
      </c>
      <c r="Z85" s="11" t="e">
        <f t="shared" si="50"/>
        <v>#VALUE!</v>
      </c>
      <c r="AA85" s="11" t="e">
        <f t="shared" si="50"/>
        <v>#VALUE!</v>
      </c>
      <c r="AB85" s="11" t="e">
        <f t="shared" si="50"/>
        <v>#VALUE!</v>
      </c>
    </row>
    <row r="86" spans="21:28" s="10" customFormat="1" ht="12.75" hidden="1">
      <c r="U86" s="11" t="e">
        <f aca="true" t="shared" si="51" ref="U86:AB86">IF($B$23-U$30+$T$30&gt;=0,SLN($U$117+$U$120,0,$B$23),0)</f>
        <v>#VALUE!</v>
      </c>
      <c r="V86" s="11" t="e">
        <f t="shared" si="51"/>
        <v>#VALUE!</v>
      </c>
      <c r="W86" s="11" t="e">
        <f t="shared" si="51"/>
        <v>#VALUE!</v>
      </c>
      <c r="X86" s="11" t="e">
        <f t="shared" si="51"/>
        <v>#VALUE!</v>
      </c>
      <c r="Y86" s="11" t="e">
        <f t="shared" si="51"/>
        <v>#VALUE!</v>
      </c>
      <c r="Z86" s="11" t="e">
        <f t="shared" si="51"/>
        <v>#VALUE!</v>
      </c>
      <c r="AA86" s="11" t="e">
        <f t="shared" si="51"/>
        <v>#VALUE!</v>
      </c>
      <c r="AB86" s="11" t="e">
        <f t="shared" si="51"/>
        <v>#VALUE!</v>
      </c>
    </row>
    <row r="87" spans="22:28" s="10" customFormat="1" ht="12.75" hidden="1">
      <c r="V87" s="11" t="e">
        <f aca="true" t="shared" si="52" ref="V87:AB87">IF($B$23-V$30+$U$30&gt;=0,SLN($V$117+$V$120,0,$B$23),0)</f>
        <v>#VALUE!</v>
      </c>
      <c r="W87" s="11" t="e">
        <f t="shared" si="52"/>
        <v>#VALUE!</v>
      </c>
      <c r="X87" s="11" t="e">
        <f t="shared" si="52"/>
        <v>#VALUE!</v>
      </c>
      <c r="Y87" s="11" t="e">
        <f t="shared" si="52"/>
        <v>#VALUE!</v>
      </c>
      <c r="Z87" s="11" t="e">
        <f t="shared" si="52"/>
        <v>#VALUE!</v>
      </c>
      <c r="AA87" s="11" t="e">
        <f t="shared" si="52"/>
        <v>#VALUE!</v>
      </c>
      <c r="AB87" s="11" t="e">
        <f t="shared" si="52"/>
        <v>#VALUE!</v>
      </c>
    </row>
    <row r="88" spans="23:28" s="10" customFormat="1" ht="12.75" hidden="1">
      <c r="W88" s="11" t="e">
        <f aca="true" t="shared" si="53" ref="W88:AB88">IF($B$23-W$30+$V$30&gt;=0,SLN($W$117+$W$120,0,$B$23),0)</f>
        <v>#VALUE!</v>
      </c>
      <c r="X88" s="11" t="e">
        <f t="shared" si="53"/>
        <v>#VALUE!</v>
      </c>
      <c r="Y88" s="11" t="e">
        <f t="shared" si="53"/>
        <v>#VALUE!</v>
      </c>
      <c r="Z88" s="11" t="e">
        <f t="shared" si="53"/>
        <v>#VALUE!</v>
      </c>
      <c r="AA88" s="11" t="e">
        <f t="shared" si="53"/>
        <v>#VALUE!</v>
      </c>
      <c r="AB88" s="11" t="e">
        <f t="shared" si="53"/>
        <v>#VALUE!</v>
      </c>
    </row>
    <row r="89" spans="24:28" s="10" customFormat="1" ht="12.75" hidden="1">
      <c r="X89" s="11" t="e">
        <f>IF($B$23-X$30+$W$30&gt;=0,SLN($X$117+$X$120,0,$B$23),0)</f>
        <v>#VALUE!</v>
      </c>
      <c r="Y89" s="11" t="e">
        <f>IF($B$23-Y$30+$W$30&gt;=0,SLN($X$117+$X$120,0,$B$23),0)</f>
        <v>#VALUE!</v>
      </c>
      <c r="Z89" s="11" t="e">
        <f>IF($B$23-Z$30+$W$30&gt;=0,SLN($X$117+$X$120,0,$B$23),0)</f>
        <v>#VALUE!</v>
      </c>
      <c r="AA89" s="11" t="e">
        <f>IF($B$23-AA$30+$W$30&gt;=0,SLN($X$117+$X$120,0,$B$23),0)</f>
        <v>#VALUE!</v>
      </c>
      <c r="AB89" s="11" t="e">
        <f>IF($B$23-AB$30+$W$30&gt;=0,SLN($X$117+$X$120,0,$B$23),0)</f>
        <v>#VALUE!</v>
      </c>
    </row>
    <row r="90" spans="25:28" s="10" customFormat="1" ht="12.75" hidden="1">
      <c r="Y90" s="11" t="e">
        <f>IF($B$23-Y$30+$X$30&gt;=0,SLN($Y$117+$Y$120,0,$B$23),0)</f>
        <v>#VALUE!</v>
      </c>
      <c r="Z90" s="11" t="e">
        <f>IF($B$23-Z$30+$X$30&gt;=0,SLN($Y$117+$Y$120,0,$B$23),0)</f>
        <v>#VALUE!</v>
      </c>
      <c r="AA90" s="11" t="e">
        <f>IF($B$23-AA$30+$X$30&gt;=0,SLN($Y$117+$Y$120,0,$B$23),0)</f>
        <v>#VALUE!</v>
      </c>
      <c r="AB90" s="11" t="e">
        <f>IF($B$23-AB$30+$X$30&gt;=0,SLN($Y$117+$Y$120,0,$B$23),0)</f>
        <v>#VALUE!</v>
      </c>
    </row>
    <row r="91" spans="26:28" s="10" customFormat="1" ht="12.75" hidden="1">
      <c r="Z91" s="11" t="e">
        <f>IF($B$23-Z$30+$Y$30&gt;=0,SLN($Z$117+$Z$120,0,$B$23),0)</f>
        <v>#VALUE!</v>
      </c>
      <c r="AA91" s="11" t="e">
        <f>IF($B$23-AA$30+$Y$30&gt;=0,SLN($Z$117+$Z$120,0,$B$23),0)</f>
        <v>#VALUE!</v>
      </c>
      <c r="AB91" s="11" t="e">
        <f>IF($B$23-AB$30+$Y$30&gt;=0,SLN($Z$117+$Z$120,0,$B$23),0)</f>
        <v>#VALUE!</v>
      </c>
    </row>
    <row r="92" spans="27:28" s="10" customFormat="1" ht="12.75" hidden="1">
      <c r="AA92" s="11" t="e">
        <f>IF($B$23-AA$30+$Z$30&gt;=0,SLN($AA$117+$AA$120,0,$B$23),0)</f>
        <v>#VALUE!</v>
      </c>
      <c r="AB92" s="11" t="e">
        <f>IF($B$23-AB$30+$Z$30&gt;=0,SLN($AA$117+$AA$120,0,$B$23),0)</f>
        <v>#VALUE!</v>
      </c>
    </row>
    <row r="93" s="10" customFormat="1" ht="12.75" hidden="1">
      <c r="AB93" s="11" t="e">
        <f>IF($B$23-AB$30+$AA$30&gt;=0,SLN($AB$117+$AB$120,0,$B$23),0)</f>
        <v>#VALUE!</v>
      </c>
    </row>
    <row r="95" ht="12.75">
      <c r="A95" s="6" t="s">
        <v>50</v>
      </c>
    </row>
    <row r="96" spans="1:28" ht="12.75">
      <c r="A96" s="18" t="s">
        <v>49</v>
      </c>
      <c r="C96" s="4">
        <f aca="true" t="shared" si="54" ref="C96:AB96">C47-C64-C67</f>
        <v>-138514.774502424</v>
      </c>
      <c r="D96" s="4">
        <f t="shared" si="54"/>
        <v>-49355.24045969988</v>
      </c>
      <c r="E96" s="4">
        <f t="shared" si="54"/>
        <v>56912.040989216184</v>
      </c>
      <c r="F96" s="4">
        <f t="shared" si="54"/>
        <v>435141.98594129656</v>
      </c>
      <c r="G96" s="4">
        <f t="shared" si="54"/>
        <v>752671.636082453</v>
      </c>
      <c r="H96" s="4">
        <f t="shared" si="54"/>
        <v>1064431.2618872114</v>
      </c>
      <c r="I96" s="4">
        <f t="shared" si="54"/>
        <v>1189182.1442661947</v>
      </c>
      <c r="J96" s="4">
        <f t="shared" si="54"/>
        <v>1227798.598476456</v>
      </c>
      <c r="K96" s="4">
        <f t="shared" si="54"/>
        <v>1258024.038212752</v>
      </c>
      <c r="L96" s="4">
        <f t="shared" si="54"/>
        <v>1326107.23299806</v>
      </c>
      <c r="M96" s="4" t="e">
        <f t="shared" si="54"/>
        <v>#VALUE!</v>
      </c>
      <c r="N96" s="4" t="e">
        <f t="shared" si="54"/>
        <v>#VALUE!</v>
      </c>
      <c r="O96" s="4" t="e">
        <f t="shared" si="54"/>
        <v>#VALUE!</v>
      </c>
      <c r="P96" s="4" t="e">
        <f t="shared" si="54"/>
        <v>#VALUE!</v>
      </c>
      <c r="Q96" s="4" t="e">
        <f t="shared" si="54"/>
        <v>#VALUE!</v>
      </c>
      <c r="R96" s="4" t="e">
        <f t="shared" si="54"/>
        <v>#VALUE!</v>
      </c>
      <c r="S96" s="4" t="e">
        <f t="shared" si="54"/>
        <v>#VALUE!</v>
      </c>
      <c r="T96" s="4" t="e">
        <f t="shared" si="54"/>
        <v>#VALUE!</v>
      </c>
      <c r="U96" s="4" t="e">
        <f t="shared" si="54"/>
        <v>#VALUE!</v>
      </c>
      <c r="V96" s="4" t="e">
        <f t="shared" si="54"/>
        <v>#VALUE!</v>
      </c>
      <c r="W96" s="4" t="e">
        <f t="shared" si="54"/>
        <v>#VALUE!</v>
      </c>
      <c r="X96" s="4" t="e">
        <f t="shared" si="54"/>
        <v>#VALUE!</v>
      </c>
      <c r="Y96" s="4" t="e">
        <f t="shared" si="54"/>
        <v>#VALUE!</v>
      </c>
      <c r="Z96" s="4" t="e">
        <f t="shared" si="54"/>
        <v>#VALUE!</v>
      </c>
      <c r="AA96" s="4" t="e">
        <f t="shared" si="54"/>
        <v>#VALUE!</v>
      </c>
      <c r="AB96" s="4" t="e">
        <f t="shared" si="54"/>
        <v>#VALUE!</v>
      </c>
    </row>
    <row r="98" ht="12.75">
      <c r="A98" s="17" t="s">
        <v>52</v>
      </c>
    </row>
    <row r="99" spans="1:28" ht="12.75">
      <c r="A99" t="s">
        <v>53</v>
      </c>
      <c r="C99" s="4">
        <f aca="true" t="shared" si="55" ref="C99:AB99">$B$22*C96</f>
        <v>-44324.72784077568</v>
      </c>
      <c r="D99" s="4">
        <f t="shared" si="55"/>
        <v>-15793.676947103962</v>
      </c>
      <c r="E99" s="4">
        <f t="shared" si="55"/>
        <v>18211.85311654918</v>
      </c>
      <c r="F99" s="4">
        <f t="shared" si="55"/>
        <v>139245.4355012149</v>
      </c>
      <c r="G99" s="4">
        <f t="shared" si="55"/>
        <v>240854.92354638496</v>
      </c>
      <c r="H99" s="4">
        <f t="shared" si="55"/>
        <v>340618.00380390766</v>
      </c>
      <c r="I99" s="4">
        <f t="shared" si="55"/>
        <v>380538.2861651823</v>
      </c>
      <c r="J99" s="4">
        <f t="shared" si="55"/>
        <v>392895.5515124659</v>
      </c>
      <c r="K99" s="4">
        <f t="shared" si="55"/>
        <v>402567.69222808065</v>
      </c>
      <c r="L99" s="4">
        <f t="shared" si="55"/>
        <v>424354.31455937924</v>
      </c>
      <c r="M99" s="4" t="e">
        <f t="shared" si="55"/>
        <v>#VALUE!</v>
      </c>
      <c r="N99" s="4" t="e">
        <f t="shared" si="55"/>
        <v>#VALUE!</v>
      </c>
      <c r="O99" s="4" t="e">
        <f t="shared" si="55"/>
        <v>#VALUE!</v>
      </c>
      <c r="P99" s="4" t="e">
        <f t="shared" si="55"/>
        <v>#VALUE!</v>
      </c>
      <c r="Q99" s="4" t="e">
        <f t="shared" si="55"/>
        <v>#VALUE!</v>
      </c>
      <c r="R99" s="4" t="e">
        <f t="shared" si="55"/>
        <v>#VALUE!</v>
      </c>
      <c r="S99" s="4" t="e">
        <f t="shared" si="55"/>
        <v>#VALUE!</v>
      </c>
      <c r="T99" s="4" t="e">
        <f t="shared" si="55"/>
        <v>#VALUE!</v>
      </c>
      <c r="U99" s="4" t="e">
        <f t="shared" si="55"/>
        <v>#VALUE!</v>
      </c>
      <c r="V99" s="4" t="e">
        <f t="shared" si="55"/>
        <v>#VALUE!</v>
      </c>
      <c r="W99" s="4" t="e">
        <f t="shared" si="55"/>
        <v>#VALUE!</v>
      </c>
      <c r="X99" s="4" t="e">
        <f t="shared" si="55"/>
        <v>#VALUE!</v>
      </c>
      <c r="Y99" s="4" t="e">
        <f t="shared" si="55"/>
        <v>#VALUE!</v>
      </c>
      <c r="Z99" s="4" t="e">
        <f t="shared" si="55"/>
        <v>#VALUE!</v>
      </c>
      <c r="AA99" s="4" t="e">
        <f t="shared" si="55"/>
        <v>#VALUE!</v>
      </c>
      <c r="AB99" s="4" t="e">
        <f t="shared" si="55"/>
        <v>#VALUE!</v>
      </c>
    </row>
    <row r="100" spans="1:28" ht="12.75">
      <c r="A100" t="s">
        <v>56</v>
      </c>
      <c r="C100" s="4">
        <v>0</v>
      </c>
      <c r="D100" s="4">
        <f aca="true" t="shared" si="56" ref="D100:AB100">C102</f>
        <v>-44324.72784077568</v>
      </c>
      <c r="E100" s="4">
        <f t="shared" si="56"/>
        <v>-60118.40478787964</v>
      </c>
      <c r="F100" s="4">
        <f t="shared" si="56"/>
        <v>-41906.55167133046</v>
      </c>
      <c r="G100" s="4">
        <f t="shared" si="56"/>
        <v>0</v>
      </c>
      <c r="H100" s="4">
        <f t="shared" si="56"/>
        <v>0</v>
      </c>
      <c r="I100" s="4">
        <f t="shared" si="56"/>
        <v>0</v>
      </c>
      <c r="J100" s="4">
        <f t="shared" si="56"/>
        <v>0</v>
      </c>
      <c r="K100" s="4">
        <f t="shared" si="56"/>
        <v>0</v>
      </c>
      <c r="L100" s="4">
        <f t="shared" si="56"/>
        <v>0</v>
      </c>
      <c r="M100" s="4">
        <f t="shared" si="56"/>
        <v>0</v>
      </c>
      <c r="N100" s="4" t="e">
        <f t="shared" si="56"/>
        <v>#VALUE!</v>
      </c>
      <c r="O100" s="4" t="e">
        <f t="shared" si="56"/>
        <v>#VALUE!</v>
      </c>
      <c r="P100" s="4" t="e">
        <f t="shared" si="56"/>
        <v>#VALUE!</v>
      </c>
      <c r="Q100" s="4" t="e">
        <f t="shared" si="56"/>
        <v>#VALUE!</v>
      </c>
      <c r="R100" s="4" t="e">
        <f t="shared" si="56"/>
        <v>#VALUE!</v>
      </c>
      <c r="S100" s="4" t="e">
        <f t="shared" si="56"/>
        <v>#VALUE!</v>
      </c>
      <c r="T100" s="4" t="e">
        <f t="shared" si="56"/>
        <v>#VALUE!</v>
      </c>
      <c r="U100" s="4" t="e">
        <f t="shared" si="56"/>
        <v>#VALUE!</v>
      </c>
      <c r="V100" s="4" t="e">
        <f t="shared" si="56"/>
        <v>#VALUE!</v>
      </c>
      <c r="W100" s="4" t="e">
        <f t="shared" si="56"/>
        <v>#VALUE!</v>
      </c>
      <c r="X100" s="4" t="e">
        <f t="shared" si="56"/>
        <v>#VALUE!</v>
      </c>
      <c r="Y100" s="4" t="e">
        <f t="shared" si="56"/>
        <v>#VALUE!</v>
      </c>
      <c r="Z100" s="4" t="e">
        <f t="shared" si="56"/>
        <v>#VALUE!</v>
      </c>
      <c r="AA100" s="4" t="e">
        <f t="shared" si="56"/>
        <v>#VALUE!</v>
      </c>
      <c r="AB100" s="4" t="e">
        <f t="shared" si="56"/>
        <v>#VALUE!</v>
      </c>
    </row>
    <row r="101" spans="1:28" ht="12.75">
      <c r="A101" t="s">
        <v>55</v>
      </c>
      <c r="C101" s="4">
        <f aca="true" t="shared" si="57" ref="C101:AB101">IF(C99&gt;0,IF(C99&gt;-C100,C100,-C99),0)</f>
        <v>0</v>
      </c>
      <c r="D101" s="4">
        <f t="shared" si="57"/>
        <v>0</v>
      </c>
      <c r="E101" s="4">
        <f t="shared" si="57"/>
        <v>-18211.85311654918</v>
      </c>
      <c r="F101" s="4">
        <f t="shared" si="57"/>
        <v>-41906.55167133046</v>
      </c>
      <c r="G101" s="4">
        <f t="shared" si="57"/>
        <v>0</v>
      </c>
      <c r="H101" s="4">
        <f t="shared" si="57"/>
        <v>0</v>
      </c>
      <c r="I101" s="4">
        <f t="shared" si="57"/>
        <v>0</v>
      </c>
      <c r="J101" s="4">
        <f t="shared" si="57"/>
        <v>0</v>
      </c>
      <c r="K101" s="4">
        <f t="shared" si="57"/>
        <v>0</v>
      </c>
      <c r="L101" s="4">
        <f t="shared" si="57"/>
        <v>0</v>
      </c>
      <c r="M101" s="4" t="e">
        <f t="shared" si="57"/>
        <v>#VALUE!</v>
      </c>
      <c r="N101" s="4" t="e">
        <f t="shared" si="57"/>
        <v>#VALUE!</v>
      </c>
      <c r="O101" s="4" t="e">
        <f t="shared" si="57"/>
        <v>#VALUE!</v>
      </c>
      <c r="P101" s="4" t="e">
        <f t="shared" si="57"/>
        <v>#VALUE!</v>
      </c>
      <c r="Q101" s="4" t="e">
        <f t="shared" si="57"/>
        <v>#VALUE!</v>
      </c>
      <c r="R101" s="4" t="e">
        <f t="shared" si="57"/>
        <v>#VALUE!</v>
      </c>
      <c r="S101" s="4" t="e">
        <f t="shared" si="57"/>
        <v>#VALUE!</v>
      </c>
      <c r="T101" s="4" t="e">
        <f t="shared" si="57"/>
        <v>#VALUE!</v>
      </c>
      <c r="U101" s="4" t="e">
        <f t="shared" si="57"/>
        <v>#VALUE!</v>
      </c>
      <c r="V101" s="4" t="e">
        <f t="shared" si="57"/>
        <v>#VALUE!</v>
      </c>
      <c r="W101" s="4" t="e">
        <f t="shared" si="57"/>
        <v>#VALUE!</v>
      </c>
      <c r="X101" s="4" t="e">
        <f t="shared" si="57"/>
        <v>#VALUE!</v>
      </c>
      <c r="Y101" s="4" t="e">
        <f t="shared" si="57"/>
        <v>#VALUE!</v>
      </c>
      <c r="Z101" s="4" t="e">
        <f t="shared" si="57"/>
        <v>#VALUE!</v>
      </c>
      <c r="AA101" s="4" t="e">
        <f t="shared" si="57"/>
        <v>#VALUE!</v>
      </c>
      <c r="AB101" s="4" t="e">
        <f t="shared" si="57"/>
        <v>#VALUE!</v>
      </c>
    </row>
    <row r="102" spans="1:28" s="7" customFormat="1" ht="12.75">
      <c r="A102" s="7" t="s">
        <v>57</v>
      </c>
      <c r="C102" s="8">
        <f aca="true" t="shared" si="58" ref="C102:AB102">IF(C99&lt;0,C99,0)+C100-C101</f>
        <v>-44324.72784077568</v>
      </c>
      <c r="D102" s="8">
        <f t="shared" si="58"/>
        <v>-60118.40478787964</v>
      </c>
      <c r="E102" s="8">
        <f t="shared" si="58"/>
        <v>-41906.55167133046</v>
      </c>
      <c r="F102" s="8">
        <f t="shared" si="58"/>
        <v>0</v>
      </c>
      <c r="G102" s="8">
        <f t="shared" si="58"/>
        <v>0</v>
      </c>
      <c r="H102" s="8">
        <f t="shared" si="58"/>
        <v>0</v>
      </c>
      <c r="I102" s="8">
        <f t="shared" si="58"/>
        <v>0</v>
      </c>
      <c r="J102" s="8">
        <f t="shared" si="58"/>
        <v>0</v>
      </c>
      <c r="K102" s="8">
        <f t="shared" si="58"/>
        <v>0</v>
      </c>
      <c r="L102" s="8">
        <f t="shared" si="58"/>
        <v>0</v>
      </c>
      <c r="M102" s="8" t="e">
        <f t="shared" si="58"/>
        <v>#VALUE!</v>
      </c>
      <c r="N102" s="8" t="e">
        <f t="shared" si="58"/>
        <v>#VALUE!</v>
      </c>
      <c r="O102" s="8" t="e">
        <f t="shared" si="58"/>
        <v>#VALUE!</v>
      </c>
      <c r="P102" s="8" t="e">
        <f t="shared" si="58"/>
        <v>#VALUE!</v>
      </c>
      <c r="Q102" s="8" t="e">
        <f t="shared" si="58"/>
        <v>#VALUE!</v>
      </c>
      <c r="R102" s="8" t="e">
        <f t="shared" si="58"/>
        <v>#VALUE!</v>
      </c>
      <c r="S102" s="8" t="e">
        <f t="shared" si="58"/>
        <v>#VALUE!</v>
      </c>
      <c r="T102" s="8" t="e">
        <f t="shared" si="58"/>
        <v>#VALUE!</v>
      </c>
      <c r="U102" s="8" t="e">
        <f t="shared" si="58"/>
        <v>#VALUE!</v>
      </c>
      <c r="V102" s="8" t="e">
        <f t="shared" si="58"/>
        <v>#VALUE!</v>
      </c>
      <c r="W102" s="8" t="e">
        <f t="shared" si="58"/>
        <v>#VALUE!</v>
      </c>
      <c r="X102" s="8" t="e">
        <f t="shared" si="58"/>
        <v>#VALUE!</v>
      </c>
      <c r="Y102" s="8" t="e">
        <f t="shared" si="58"/>
        <v>#VALUE!</v>
      </c>
      <c r="Z102" s="8" t="e">
        <f t="shared" si="58"/>
        <v>#VALUE!</v>
      </c>
      <c r="AA102" s="8" t="e">
        <f t="shared" si="58"/>
        <v>#VALUE!</v>
      </c>
      <c r="AB102" s="8" t="e">
        <f t="shared" si="58"/>
        <v>#VALUE!</v>
      </c>
    </row>
    <row r="103" spans="1:28" ht="12.75">
      <c r="A103" t="s">
        <v>54</v>
      </c>
      <c r="C103" s="4">
        <f aca="true" t="shared" si="59" ref="C103:AB103">IF(C99&gt;=0,C99+C101,0)</f>
        <v>0</v>
      </c>
      <c r="D103" s="4">
        <f t="shared" si="59"/>
        <v>0</v>
      </c>
      <c r="E103" s="4">
        <f t="shared" si="59"/>
        <v>0</v>
      </c>
      <c r="F103" s="4">
        <f t="shared" si="59"/>
        <v>97338.88382988443</v>
      </c>
      <c r="G103" s="4">
        <f t="shared" si="59"/>
        <v>240854.92354638496</v>
      </c>
      <c r="H103" s="4">
        <f t="shared" si="59"/>
        <v>340618.00380390766</v>
      </c>
      <c r="I103" s="4">
        <f t="shared" si="59"/>
        <v>380538.2861651823</v>
      </c>
      <c r="J103" s="4">
        <f t="shared" si="59"/>
        <v>392895.5515124659</v>
      </c>
      <c r="K103" s="4">
        <f t="shared" si="59"/>
        <v>402567.69222808065</v>
      </c>
      <c r="L103" s="4">
        <f t="shared" si="59"/>
        <v>424354.31455937924</v>
      </c>
      <c r="M103" s="4" t="e">
        <f t="shared" si="59"/>
        <v>#VALUE!</v>
      </c>
      <c r="N103" s="4" t="e">
        <f t="shared" si="59"/>
        <v>#VALUE!</v>
      </c>
      <c r="O103" s="4" t="e">
        <f t="shared" si="59"/>
        <v>#VALUE!</v>
      </c>
      <c r="P103" s="4" t="e">
        <f t="shared" si="59"/>
        <v>#VALUE!</v>
      </c>
      <c r="Q103" s="4" t="e">
        <f t="shared" si="59"/>
        <v>#VALUE!</v>
      </c>
      <c r="R103" s="4" t="e">
        <f t="shared" si="59"/>
        <v>#VALUE!</v>
      </c>
      <c r="S103" s="4" t="e">
        <f t="shared" si="59"/>
        <v>#VALUE!</v>
      </c>
      <c r="T103" s="4" t="e">
        <f t="shared" si="59"/>
        <v>#VALUE!</v>
      </c>
      <c r="U103" s="4" t="e">
        <f t="shared" si="59"/>
        <v>#VALUE!</v>
      </c>
      <c r="V103" s="4" t="e">
        <f t="shared" si="59"/>
        <v>#VALUE!</v>
      </c>
      <c r="W103" s="4" t="e">
        <f t="shared" si="59"/>
        <v>#VALUE!</v>
      </c>
      <c r="X103" s="4" t="e">
        <f t="shared" si="59"/>
        <v>#VALUE!</v>
      </c>
      <c r="Y103" s="4" t="e">
        <f t="shared" si="59"/>
        <v>#VALUE!</v>
      </c>
      <c r="Z103" s="4" t="e">
        <f t="shared" si="59"/>
        <v>#VALUE!</v>
      </c>
      <c r="AA103" s="4" t="e">
        <f t="shared" si="59"/>
        <v>#VALUE!</v>
      </c>
      <c r="AB103" s="4" t="e">
        <f t="shared" si="59"/>
        <v>#VALUE!</v>
      </c>
    </row>
    <row r="105" ht="12.75">
      <c r="A105" s="6" t="s">
        <v>58</v>
      </c>
    </row>
    <row r="106" spans="1:28" ht="12.75">
      <c r="A106" s="18" t="s">
        <v>59</v>
      </c>
      <c r="C106" s="4">
        <f aca="true" t="shared" si="60" ref="C106:AB106">C96-C103</f>
        <v>-138514.774502424</v>
      </c>
      <c r="D106" s="4">
        <f t="shared" si="60"/>
        <v>-49355.24045969988</v>
      </c>
      <c r="E106" s="4">
        <f t="shared" si="60"/>
        <v>56912.040989216184</v>
      </c>
      <c r="F106" s="4">
        <f t="shared" si="60"/>
        <v>337803.1021114121</v>
      </c>
      <c r="G106" s="4">
        <f t="shared" si="60"/>
        <v>511816.712536068</v>
      </c>
      <c r="H106" s="4">
        <f t="shared" si="60"/>
        <v>723813.2580833037</v>
      </c>
      <c r="I106" s="4">
        <f t="shared" si="60"/>
        <v>808643.8581010124</v>
      </c>
      <c r="J106" s="4">
        <f t="shared" si="60"/>
        <v>834903.0469639901</v>
      </c>
      <c r="K106" s="4">
        <f t="shared" si="60"/>
        <v>855456.3459846713</v>
      </c>
      <c r="L106" s="4">
        <f t="shared" si="60"/>
        <v>901752.9184386808</v>
      </c>
      <c r="M106" s="4" t="e">
        <f t="shared" si="60"/>
        <v>#VALUE!</v>
      </c>
      <c r="N106" s="4" t="e">
        <f t="shared" si="60"/>
        <v>#VALUE!</v>
      </c>
      <c r="O106" s="4" t="e">
        <f t="shared" si="60"/>
        <v>#VALUE!</v>
      </c>
      <c r="P106" s="4" t="e">
        <f t="shared" si="60"/>
        <v>#VALUE!</v>
      </c>
      <c r="Q106" s="4" t="e">
        <f t="shared" si="60"/>
        <v>#VALUE!</v>
      </c>
      <c r="R106" s="4" t="e">
        <f t="shared" si="60"/>
        <v>#VALUE!</v>
      </c>
      <c r="S106" s="4" t="e">
        <f t="shared" si="60"/>
        <v>#VALUE!</v>
      </c>
      <c r="T106" s="4" t="e">
        <f t="shared" si="60"/>
        <v>#VALUE!</v>
      </c>
      <c r="U106" s="4" t="e">
        <f t="shared" si="60"/>
        <v>#VALUE!</v>
      </c>
      <c r="V106" s="4" t="e">
        <f t="shared" si="60"/>
        <v>#VALUE!</v>
      </c>
      <c r="W106" s="4" t="e">
        <f t="shared" si="60"/>
        <v>#VALUE!</v>
      </c>
      <c r="X106" s="4" t="e">
        <f t="shared" si="60"/>
        <v>#VALUE!</v>
      </c>
      <c r="Y106" s="4" t="e">
        <f t="shared" si="60"/>
        <v>#VALUE!</v>
      </c>
      <c r="Z106" s="4" t="e">
        <f t="shared" si="60"/>
        <v>#VALUE!</v>
      </c>
      <c r="AA106" s="4" t="e">
        <f t="shared" si="60"/>
        <v>#VALUE!</v>
      </c>
      <c r="AB106" s="4" t="e">
        <f t="shared" si="60"/>
        <v>#VALUE!</v>
      </c>
    </row>
    <row r="108" ht="12.75">
      <c r="A108" s="6" t="s">
        <v>61</v>
      </c>
    </row>
    <row r="109" spans="1:28" ht="12.75">
      <c r="A109" s="18" t="s">
        <v>60</v>
      </c>
      <c r="C109" s="4">
        <f aca="true" t="shared" si="61" ref="C109:AB109">C106+C67</f>
        <v>-102514.774502424</v>
      </c>
      <c r="D109" s="4">
        <f t="shared" si="61"/>
        <v>-13355.240459699882</v>
      </c>
      <c r="E109" s="4">
        <f t="shared" si="61"/>
        <v>92912.04098921618</v>
      </c>
      <c r="F109" s="4">
        <f t="shared" si="61"/>
        <v>373803.1021114121</v>
      </c>
      <c r="G109" s="4">
        <f t="shared" si="61"/>
        <v>547816.7125360679</v>
      </c>
      <c r="H109" s="4">
        <f t="shared" si="61"/>
        <v>728425.0546620073</v>
      </c>
      <c r="I109" s="4">
        <f t="shared" si="61"/>
        <v>813255.654679716</v>
      </c>
      <c r="J109" s="4">
        <f t="shared" si="61"/>
        <v>839514.8435426936</v>
      </c>
      <c r="K109" s="4">
        <f t="shared" si="61"/>
        <v>860068.1425633748</v>
      </c>
      <c r="L109" s="4">
        <f t="shared" si="61"/>
        <v>906364.7150173844</v>
      </c>
      <c r="M109" s="4" t="e">
        <f t="shared" si="61"/>
        <v>#VALUE!</v>
      </c>
      <c r="N109" s="4" t="e">
        <f t="shared" si="61"/>
        <v>#VALUE!</v>
      </c>
      <c r="O109" s="4" t="e">
        <f t="shared" si="61"/>
        <v>#VALUE!</v>
      </c>
      <c r="P109" s="4" t="e">
        <f t="shared" si="61"/>
        <v>#VALUE!</v>
      </c>
      <c r="Q109" s="4" t="e">
        <f t="shared" si="61"/>
        <v>#VALUE!</v>
      </c>
      <c r="R109" s="4" t="e">
        <f t="shared" si="61"/>
        <v>#VALUE!</v>
      </c>
      <c r="S109" s="4" t="e">
        <f t="shared" si="61"/>
        <v>#VALUE!</v>
      </c>
      <c r="T109" s="4" t="e">
        <f t="shared" si="61"/>
        <v>#VALUE!</v>
      </c>
      <c r="U109" s="4" t="e">
        <f t="shared" si="61"/>
        <v>#VALUE!</v>
      </c>
      <c r="V109" s="4" t="e">
        <f t="shared" si="61"/>
        <v>#VALUE!</v>
      </c>
      <c r="W109" s="4" t="e">
        <f t="shared" si="61"/>
        <v>#VALUE!</v>
      </c>
      <c r="X109" s="4" t="e">
        <f t="shared" si="61"/>
        <v>#VALUE!</v>
      </c>
      <c r="Y109" s="4" t="e">
        <f t="shared" si="61"/>
        <v>#VALUE!</v>
      </c>
      <c r="Z109" s="4" t="e">
        <f t="shared" si="61"/>
        <v>#VALUE!</v>
      </c>
      <c r="AA109" s="4" t="e">
        <f t="shared" si="61"/>
        <v>#VALUE!</v>
      </c>
      <c r="AB109" s="4" t="e">
        <f t="shared" si="61"/>
        <v>#VALUE!</v>
      </c>
    </row>
    <row r="111" ht="12.75">
      <c r="A111" s="17" t="s">
        <v>17</v>
      </c>
    </row>
    <row r="112" ht="12.75">
      <c r="A112" s="9" t="str">
        <f>CONCATENATE("Items Subject to Replacement (",$B$23,"Years)")</f>
        <v>Items Subject to Replacement (5Years)</v>
      </c>
    </row>
    <row r="113" spans="1:28" ht="12.75">
      <c r="A113" t="s">
        <v>18</v>
      </c>
      <c r="C113" s="4">
        <f aca="true" t="shared" si="62" ref="C113:AB113">75000*C37*((1+$B$21)^(C30-1))*$B$25^(C30-1)</f>
        <v>75000</v>
      </c>
      <c r="D113" s="4">
        <f t="shared" si="62"/>
        <v>0</v>
      </c>
      <c r="E113" s="4">
        <f t="shared" si="62"/>
        <v>0</v>
      </c>
      <c r="F113" s="4">
        <f t="shared" si="62"/>
        <v>0</v>
      </c>
      <c r="G113" s="4">
        <f t="shared" si="62"/>
        <v>0</v>
      </c>
      <c r="H113" s="4">
        <f t="shared" si="62"/>
        <v>0</v>
      </c>
      <c r="I113" s="4">
        <f t="shared" si="62"/>
        <v>0</v>
      </c>
      <c r="J113" s="4">
        <f t="shared" si="62"/>
        <v>0</v>
      </c>
      <c r="K113" s="4">
        <f t="shared" si="62"/>
        <v>0</v>
      </c>
      <c r="L113" s="4">
        <f t="shared" si="62"/>
        <v>0</v>
      </c>
      <c r="M113" s="4" t="e">
        <f t="shared" si="62"/>
        <v>#VALUE!</v>
      </c>
      <c r="N113" s="4" t="e">
        <f t="shared" si="62"/>
        <v>#VALUE!</v>
      </c>
      <c r="O113" s="4" t="e">
        <f t="shared" si="62"/>
        <v>#VALUE!</v>
      </c>
      <c r="P113" s="4" t="e">
        <f t="shared" si="62"/>
        <v>#VALUE!</v>
      </c>
      <c r="Q113" s="4" t="e">
        <f t="shared" si="62"/>
        <v>#VALUE!</v>
      </c>
      <c r="R113" s="4" t="e">
        <f t="shared" si="62"/>
        <v>#VALUE!</v>
      </c>
      <c r="S113" s="4" t="e">
        <f t="shared" si="62"/>
        <v>#VALUE!</v>
      </c>
      <c r="T113" s="4" t="e">
        <f t="shared" si="62"/>
        <v>#VALUE!</v>
      </c>
      <c r="U113" s="4" t="e">
        <f t="shared" si="62"/>
        <v>#VALUE!</v>
      </c>
      <c r="V113" s="4" t="e">
        <f t="shared" si="62"/>
        <v>#VALUE!</v>
      </c>
      <c r="W113" s="4" t="e">
        <f t="shared" si="62"/>
        <v>#VALUE!</v>
      </c>
      <c r="X113" s="4" t="e">
        <f t="shared" si="62"/>
        <v>#VALUE!</v>
      </c>
      <c r="Y113" s="4" t="e">
        <f t="shared" si="62"/>
        <v>#VALUE!</v>
      </c>
      <c r="Z113" s="4" t="e">
        <f t="shared" si="62"/>
        <v>#VALUE!</v>
      </c>
      <c r="AA113" s="4" t="e">
        <f t="shared" si="62"/>
        <v>#VALUE!</v>
      </c>
      <c r="AB113" s="4" t="e">
        <f t="shared" si="62"/>
        <v>#VALUE!</v>
      </c>
    </row>
    <row r="114" spans="1:28" ht="12.75">
      <c r="A114" t="s">
        <v>21</v>
      </c>
      <c r="C114" s="4">
        <f aca="true" t="shared" si="63" ref="C114:AB114">50000*C37*((1+$B$21)^(C30-1))*$B$25^(C30-1)</f>
        <v>50000</v>
      </c>
      <c r="D114" s="4">
        <f t="shared" si="63"/>
        <v>0</v>
      </c>
      <c r="E114" s="4">
        <f t="shared" si="63"/>
        <v>0</v>
      </c>
      <c r="F114" s="4">
        <f t="shared" si="63"/>
        <v>0</v>
      </c>
      <c r="G114" s="4">
        <f t="shared" si="63"/>
        <v>0</v>
      </c>
      <c r="H114" s="4">
        <f t="shared" si="63"/>
        <v>0</v>
      </c>
      <c r="I114" s="4">
        <f t="shared" si="63"/>
        <v>0</v>
      </c>
      <c r="J114" s="4">
        <f t="shared" si="63"/>
        <v>0</v>
      </c>
      <c r="K114" s="4">
        <f t="shared" si="63"/>
        <v>0</v>
      </c>
      <c r="L114" s="4">
        <f t="shared" si="63"/>
        <v>0</v>
      </c>
      <c r="M114" s="4" t="e">
        <f t="shared" si="63"/>
        <v>#VALUE!</v>
      </c>
      <c r="N114" s="4" t="e">
        <f t="shared" si="63"/>
        <v>#VALUE!</v>
      </c>
      <c r="O114" s="4" t="e">
        <f t="shared" si="63"/>
        <v>#VALUE!</v>
      </c>
      <c r="P114" s="4" t="e">
        <f t="shared" si="63"/>
        <v>#VALUE!</v>
      </c>
      <c r="Q114" s="4" t="e">
        <f t="shared" si="63"/>
        <v>#VALUE!</v>
      </c>
      <c r="R114" s="4" t="e">
        <f t="shared" si="63"/>
        <v>#VALUE!</v>
      </c>
      <c r="S114" s="4" t="e">
        <f t="shared" si="63"/>
        <v>#VALUE!</v>
      </c>
      <c r="T114" s="4" t="e">
        <f t="shared" si="63"/>
        <v>#VALUE!</v>
      </c>
      <c r="U114" s="4" t="e">
        <f t="shared" si="63"/>
        <v>#VALUE!</v>
      </c>
      <c r="V114" s="4" t="e">
        <f t="shared" si="63"/>
        <v>#VALUE!</v>
      </c>
      <c r="W114" s="4" t="e">
        <f t="shared" si="63"/>
        <v>#VALUE!</v>
      </c>
      <c r="X114" s="4" t="e">
        <f t="shared" si="63"/>
        <v>#VALUE!</v>
      </c>
      <c r="Y114" s="4" t="e">
        <f t="shared" si="63"/>
        <v>#VALUE!</v>
      </c>
      <c r="Z114" s="4" t="e">
        <f t="shared" si="63"/>
        <v>#VALUE!</v>
      </c>
      <c r="AA114" s="4" t="e">
        <f t="shared" si="63"/>
        <v>#VALUE!</v>
      </c>
      <c r="AB114" s="4" t="e">
        <f t="shared" si="63"/>
        <v>#VALUE!</v>
      </c>
    </row>
    <row r="115" spans="1:28" ht="12.75">
      <c r="A115" t="s">
        <v>22</v>
      </c>
      <c r="C115" s="4">
        <f aca="true" t="shared" si="64" ref="C115:AB115">5000*C37*((1+$B$21)^(C30-1))*$B$25^(C30-1)</f>
        <v>5000</v>
      </c>
      <c r="D115" s="4">
        <f t="shared" si="64"/>
        <v>0</v>
      </c>
      <c r="E115" s="4">
        <f t="shared" si="64"/>
        <v>0</v>
      </c>
      <c r="F115" s="4">
        <f t="shared" si="64"/>
        <v>0</v>
      </c>
      <c r="G115" s="4">
        <f t="shared" si="64"/>
        <v>0</v>
      </c>
      <c r="H115" s="4">
        <f t="shared" si="64"/>
        <v>0</v>
      </c>
      <c r="I115" s="4">
        <f t="shared" si="64"/>
        <v>0</v>
      </c>
      <c r="J115" s="4">
        <f t="shared" si="64"/>
        <v>0</v>
      </c>
      <c r="K115" s="4">
        <f t="shared" si="64"/>
        <v>0</v>
      </c>
      <c r="L115" s="4">
        <f t="shared" si="64"/>
        <v>0</v>
      </c>
      <c r="M115" s="4" t="e">
        <f t="shared" si="64"/>
        <v>#VALUE!</v>
      </c>
      <c r="N115" s="4" t="e">
        <f t="shared" si="64"/>
        <v>#VALUE!</v>
      </c>
      <c r="O115" s="4" t="e">
        <f t="shared" si="64"/>
        <v>#VALUE!</v>
      </c>
      <c r="P115" s="4" t="e">
        <f t="shared" si="64"/>
        <v>#VALUE!</v>
      </c>
      <c r="Q115" s="4" t="e">
        <f t="shared" si="64"/>
        <v>#VALUE!</v>
      </c>
      <c r="R115" s="4" t="e">
        <f t="shared" si="64"/>
        <v>#VALUE!</v>
      </c>
      <c r="S115" s="4" t="e">
        <f t="shared" si="64"/>
        <v>#VALUE!</v>
      </c>
      <c r="T115" s="4" t="e">
        <f t="shared" si="64"/>
        <v>#VALUE!</v>
      </c>
      <c r="U115" s="4" t="e">
        <f t="shared" si="64"/>
        <v>#VALUE!</v>
      </c>
      <c r="V115" s="4" t="e">
        <f t="shared" si="64"/>
        <v>#VALUE!</v>
      </c>
      <c r="W115" s="4" t="e">
        <f t="shared" si="64"/>
        <v>#VALUE!</v>
      </c>
      <c r="X115" s="4" t="e">
        <f t="shared" si="64"/>
        <v>#VALUE!</v>
      </c>
      <c r="Y115" s="4" t="e">
        <f t="shared" si="64"/>
        <v>#VALUE!</v>
      </c>
      <c r="Z115" s="4" t="e">
        <f t="shared" si="64"/>
        <v>#VALUE!</v>
      </c>
      <c r="AA115" s="4" t="e">
        <f t="shared" si="64"/>
        <v>#VALUE!</v>
      </c>
      <c r="AB115" s="4" t="e">
        <f t="shared" si="64"/>
        <v>#VALUE!</v>
      </c>
    </row>
    <row r="116" spans="1:28" ht="12.75">
      <c r="A116" t="s">
        <v>23</v>
      </c>
      <c r="C116" s="4">
        <f>(50000*((1+$B$21)^(C30-1))*$B$25^(C30-1))*CEILING(C35/($B$24*45/30),1)</f>
        <v>50000</v>
      </c>
      <c r="D116" s="4">
        <f aca="true" t="shared" si="65" ref="D116:AB116">(50000*((1+$B$21)^(C30-1))*$B$25^(C30-1))*(CEILING(D35/($B$24*45/30),1)-CEILING(C35/($B$24*45/30),1))</f>
        <v>0</v>
      </c>
      <c r="E116" s="4">
        <f t="shared" si="65"/>
        <v>0</v>
      </c>
      <c r="F116" s="4">
        <f t="shared" si="65"/>
        <v>0</v>
      </c>
      <c r="G116" s="4">
        <f t="shared" si="65"/>
        <v>0</v>
      </c>
      <c r="H116" s="4">
        <f t="shared" si="65"/>
        <v>0</v>
      </c>
      <c r="I116" s="4">
        <f t="shared" si="65"/>
        <v>0</v>
      </c>
      <c r="J116" s="4">
        <f t="shared" si="65"/>
        <v>0</v>
      </c>
      <c r="K116" s="4">
        <f t="shared" si="65"/>
        <v>0</v>
      </c>
      <c r="L116" s="4">
        <f t="shared" si="65"/>
        <v>0</v>
      </c>
      <c r="M116" s="4" t="e">
        <f t="shared" si="65"/>
        <v>#VALUE!</v>
      </c>
      <c r="N116" s="4" t="e">
        <f t="shared" si="65"/>
        <v>#VALUE!</v>
      </c>
      <c r="O116" s="4" t="e">
        <f t="shared" si="65"/>
        <v>#VALUE!</v>
      </c>
      <c r="P116" s="4" t="e">
        <f t="shared" si="65"/>
        <v>#VALUE!</v>
      </c>
      <c r="Q116" s="4" t="e">
        <f t="shared" si="65"/>
        <v>#VALUE!</v>
      </c>
      <c r="R116" s="4" t="e">
        <f t="shared" si="65"/>
        <v>#VALUE!</v>
      </c>
      <c r="S116" s="4" t="e">
        <f t="shared" si="65"/>
        <v>#VALUE!</v>
      </c>
      <c r="T116" s="4" t="e">
        <f t="shared" si="65"/>
        <v>#VALUE!</v>
      </c>
      <c r="U116" s="4" t="e">
        <f t="shared" si="65"/>
        <v>#VALUE!</v>
      </c>
      <c r="V116" s="4" t="e">
        <f t="shared" si="65"/>
        <v>#VALUE!</v>
      </c>
      <c r="W116" s="4" t="e">
        <f t="shared" si="65"/>
        <v>#VALUE!</v>
      </c>
      <c r="X116" s="4" t="e">
        <f t="shared" si="65"/>
        <v>#VALUE!</v>
      </c>
      <c r="Y116" s="4" t="e">
        <f t="shared" si="65"/>
        <v>#VALUE!</v>
      </c>
      <c r="Z116" s="4" t="e">
        <f t="shared" si="65"/>
        <v>#VALUE!</v>
      </c>
      <c r="AA116" s="4" t="e">
        <f t="shared" si="65"/>
        <v>#VALUE!</v>
      </c>
      <c r="AB116" s="4" t="e">
        <f t="shared" si="65"/>
        <v>#VALUE!</v>
      </c>
    </row>
    <row r="117" spans="1:28" s="14" customFormat="1" ht="12.75">
      <c r="A117" s="14" t="s">
        <v>27</v>
      </c>
      <c r="C117" s="15">
        <f aca="true" t="shared" si="66" ref="C117:AB117">SUM(C113:C116)</f>
        <v>180000</v>
      </c>
      <c r="D117" s="15">
        <f t="shared" si="66"/>
        <v>0</v>
      </c>
      <c r="E117" s="15">
        <f t="shared" si="66"/>
        <v>0</v>
      </c>
      <c r="F117" s="15">
        <f t="shared" si="66"/>
        <v>0</v>
      </c>
      <c r="G117" s="15">
        <f t="shared" si="66"/>
        <v>0</v>
      </c>
      <c r="H117" s="15">
        <f t="shared" si="66"/>
        <v>0</v>
      </c>
      <c r="I117" s="15">
        <f t="shared" si="66"/>
        <v>0</v>
      </c>
      <c r="J117" s="15">
        <f t="shared" si="66"/>
        <v>0</v>
      </c>
      <c r="K117" s="15">
        <f t="shared" si="66"/>
        <v>0</v>
      </c>
      <c r="L117" s="15">
        <f t="shared" si="66"/>
        <v>0</v>
      </c>
      <c r="M117" s="15" t="e">
        <f t="shared" si="66"/>
        <v>#VALUE!</v>
      </c>
      <c r="N117" s="15" t="e">
        <f t="shared" si="66"/>
        <v>#VALUE!</v>
      </c>
      <c r="O117" s="15" t="e">
        <f t="shared" si="66"/>
        <v>#VALUE!</v>
      </c>
      <c r="P117" s="15" t="e">
        <f t="shared" si="66"/>
        <v>#VALUE!</v>
      </c>
      <c r="Q117" s="15" t="e">
        <f t="shared" si="66"/>
        <v>#VALUE!</v>
      </c>
      <c r="R117" s="15" t="e">
        <f t="shared" si="66"/>
        <v>#VALUE!</v>
      </c>
      <c r="S117" s="15" t="e">
        <f t="shared" si="66"/>
        <v>#VALUE!</v>
      </c>
      <c r="T117" s="15" t="e">
        <f t="shared" si="66"/>
        <v>#VALUE!</v>
      </c>
      <c r="U117" s="15" t="e">
        <f t="shared" si="66"/>
        <v>#VALUE!</v>
      </c>
      <c r="V117" s="15" t="e">
        <f t="shared" si="66"/>
        <v>#VALUE!</v>
      </c>
      <c r="W117" s="15" t="e">
        <f t="shared" si="66"/>
        <v>#VALUE!</v>
      </c>
      <c r="X117" s="15" t="e">
        <f t="shared" si="66"/>
        <v>#VALUE!</v>
      </c>
      <c r="Y117" s="15" t="e">
        <f t="shared" si="66"/>
        <v>#VALUE!</v>
      </c>
      <c r="Z117" s="15" t="e">
        <f t="shared" si="66"/>
        <v>#VALUE!</v>
      </c>
      <c r="AA117" s="15" t="e">
        <f t="shared" si="66"/>
        <v>#VALUE!</v>
      </c>
      <c r="AB117" s="15" t="e">
        <f t="shared" si="66"/>
        <v>#VALUE!</v>
      </c>
    </row>
    <row r="118" spans="1:28" s="10" customFormat="1" ht="12.75">
      <c r="A118" s="9" t="str">
        <f>CONCATENATE("Replacement Items (",$B$23,"Years)")</f>
        <v>Replacement Items (5Years)</v>
      </c>
      <c r="C118" s="11"/>
      <c r="D118" s="12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</row>
    <row r="119" spans="1:28" s="7" customFormat="1" ht="12.75">
      <c r="A119" s="13" t="s">
        <v>28</v>
      </c>
      <c r="C119" s="8">
        <f aca="true" t="shared" si="67" ref="C119:AB119">(1+$B$21)^(C30-1)*$B$25^(C30-1)*IF($B$23-C30&lt;0,INDEX($C$117:$AB$117,1,COLUMN(C30)-$B$23-2),0)</f>
        <v>0</v>
      </c>
      <c r="D119" s="8">
        <f t="shared" si="67"/>
        <v>0</v>
      </c>
      <c r="E119" s="8">
        <f t="shared" si="67"/>
        <v>0</v>
      </c>
      <c r="F119" s="8">
        <f t="shared" si="67"/>
        <v>0</v>
      </c>
      <c r="G119" s="8">
        <f t="shared" si="67"/>
        <v>0</v>
      </c>
      <c r="H119" s="8">
        <f t="shared" si="67"/>
        <v>23058.982893517743</v>
      </c>
      <c r="I119" s="8">
        <f t="shared" si="67"/>
        <v>0</v>
      </c>
      <c r="J119" s="8">
        <f t="shared" si="67"/>
        <v>0</v>
      </c>
      <c r="K119" s="8">
        <f t="shared" si="67"/>
        <v>0</v>
      </c>
      <c r="L119" s="8">
        <f t="shared" si="67"/>
        <v>0</v>
      </c>
      <c r="M119" s="8" t="e">
        <f t="shared" si="67"/>
        <v>#VALUE!</v>
      </c>
      <c r="N119" s="8" t="e">
        <f t="shared" si="67"/>
        <v>#VALUE!</v>
      </c>
      <c r="O119" s="8" t="e">
        <f t="shared" si="67"/>
        <v>#VALUE!</v>
      </c>
      <c r="P119" s="8" t="e">
        <f t="shared" si="67"/>
        <v>#VALUE!</v>
      </c>
      <c r="Q119" s="8" t="e">
        <f t="shared" si="67"/>
        <v>#VALUE!</v>
      </c>
      <c r="R119" s="8" t="e">
        <f t="shared" si="67"/>
        <v>#VALUE!</v>
      </c>
      <c r="S119" s="8" t="e">
        <f t="shared" si="67"/>
        <v>#VALUE!</v>
      </c>
      <c r="T119" s="8" t="e">
        <f t="shared" si="67"/>
        <v>#VALUE!</v>
      </c>
      <c r="U119" s="8" t="e">
        <f t="shared" si="67"/>
        <v>#VALUE!</v>
      </c>
      <c r="V119" s="8" t="e">
        <f t="shared" si="67"/>
        <v>#VALUE!</v>
      </c>
      <c r="W119" s="8" t="e">
        <f t="shared" si="67"/>
        <v>#VALUE!</v>
      </c>
      <c r="X119" s="8" t="e">
        <f t="shared" si="67"/>
        <v>#VALUE!</v>
      </c>
      <c r="Y119" s="8" t="e">
        <f t="shared" si="67"/>
        <v>#VALUE!</v>
      </c>
      <c r="Z119" s="8" t="e">
        <f t="shared" si="67"/>
        <v>#VALUE!</v>
      </c>
      <c r="AA119" s="8" t="e">
        <f t="shared" si="67"/>
        <v>#VALUE!</v>
      </c>
      <c r="AB119" s="8" t="e">
        <f t="shared" si="67"/>
        <v>#VALUE!</v>
      </c>
    </row>
    <row r="120" spans="1:28" ht="12.75">
      <c r="A120" t="s">
        <v>27</v>
      </c>
      <c r="C120" s="4">
        <f aca="true" t="shared" si="68" ref="C120:AB120">C119</f>
        <v>0</v>
      </c>
      <c r="D120" s="4">
        <f t="shared" si="68"/>
        <v>0</v>
      </c>
      <c r="E120" s="4">
        <f t="shared" si="68"/>
        <v>0</v>
      </c>
      <c r="F120" s="4">
        <f t="shared" si="68"/>
        <v>0</v>
      </c>
      <c r="G120" s="4">
        <f t="shared" si="68"/>
        <v>0</v>
      </c>
      <c r="H120" s="4">
        <f t="shared" si="68"/>
        <v>23058.982893517743</v>
      </c>
      <c r="I120" s="4">
        <f t="shared" si="68"/>
        <v>0</v>
      </c>
      <c r="J120" s="4">
        <f t="shared" si="68"/>
        <v>0</v>
      </c>
      <c r="K120" s="4">
        <f t="shared" si="68"/>
        <v>0</v>
      </c>
      <c r="L120" s="4">
        <f t="shared" si="68"/>
        <v>0</v>
      </c>
      <c r="M120" s="4" t="e">
        <f t="shared" si="68"/>
        <v>#VALUE!</v>
      </c>
      <c r="N120" s="4" t="e">
        <f t="shared" si="68"/>
        <v>#VALUE!</v>
      </c>
      <c r="O120" s="4" t="e">
        <f t="shared" si="68"/>
        <v>#VALUE!</v>
      </c>
      <c r="P120" s="4" t="e">
        <f t="shared" si="68"/>
        <v>#VALUE!</v>
      </c>
      <c r="Q120" s="4" t="e">
        <f t="shared" si="68"/>
        <v>#VALUE!</v>
      </c>
      <c r="R120" s="4" t="e">
        <f t="shared" si="68"/>
        <v>#VALUE!</v>
      </c>
      <c r="S120" s="4" t="e">
        <f t="shared" si="68"/>
        <v>#VALUE!</v>
      </c>
      <c r="T120" s="4" t="e">
        <f t="shared" si="68"/>
        <v>#VALUE!</v>
      </c>
      <c r="U120" s="4" t="e">
        <f t="shared" si="68"/>
        <v>#VALUE!</v>
      </c>
      <c r="V120" s="4" t="e">
        <f t="shared" si="68"/>
        <v>#VALUE!</v>
      </c>
      <c r="W120" s="4" t="e">
        <f t="shared" si="68"/>
        <v>#VALUE!</v>
      </c>
      <c r="X120" s="4" t="e">
        <f t="shared" si="68"/>
        <v>#VALUE!</v>
      </c>
      <c r="Y120" s="4" t="e">
        <f t="shared" si="68"/>
        <v>#VALUE!</v>
      </c>
      <c r="Z120" s="4" t="e">
        <f t="shared" si="68"/>
        <v>#VALUE!</v>
      </c>
      <c r="AA120" s="4" t="e">
        <f t="shared" si="68"/>
        <v>#VALUE!</v>
      </c>
      <c r="AB120" s="4" t="e">
        <f t="shared" si="68"/>
        <v>#VALUE!</v>
      </c>
    </row>
    <row r="121" spans="1:28" ht="12.75">
      <c r="A121" s="9" t="s">
        <v>26</v>
      </c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</row>
    <row r="122" spans="1:28" ht="12.75">
      <c r="A122" t="s">
        <v>24</v>
      </c>
      <c r="C122" s="4">
        <f>(50000*(1+$B$21)^(C30-1))*CEILING(C35/($B$24*45/30),1)</f>
        <v>50000</v>
      </c>
      <c r="D122" s="4">
        <f aca="true" t="shared" si="69" ref="D122:AB122">(50000*(1+$B$21)^(C30-1))*(CEILING(D35/($B$24*45/30),1)-CEILING(C35/($B$24*45/30),1))</f>
        <v>0</v>
      </c>
      <c r="E122" s="4">
        <f t="shared" si="69"/>
        <v>0</v>
      </c>
      <c r="F122" s="4">
        <f t="shared" si="69"/>
        <v>0</v>
      </c>
      <c r="G122" s="4">
        <f t="shared" si="69"/>
        <v>0</v>
      </c>
      <c r="H122" s="4">
        <f t="shared" si="69"/>
        <v>0</v>
      </c>
      <c r="I122" s="4">
        <f t="shared" si="69"/>
        <v>0</v>
      </c>
      <c r="J122" s="4">
        <f t="shared" si="69"/>
        <v>0</v>
      </c>
      <c r="K122" s="4">
        <f t="shared" si="69"/>
        <v>0</v>
      </c>
      <c r="L122" s="4">
        <f t="shared" si="69"/>
        <v>0</v>
      </c>
      <c r="M122" s="4" t="e">
        <f t="shared" si="69"/>
        <v>#VALUE!</v>
      </c>
      <c r="N122" s="4" t="e">
        <f t="shared" si="69"/>
        <v>#VALUE!</v>
      </c>
      <c r="O122" s="4" t="e">
        <f t="shared" si="69"/>
        <v>#VALUE!</v>
      </c>
      <c r="P122" s="4" t="e">
        <f t="shared" si="69"/>
        <v>#VALUE!</v>
      </c>
      <c r="Q122" s="4" t="e">
        <f t="shared" si="69"/>
        <v>#VALUE!</v>
      </c>
      <c r="R122" s="4" t="e">
        <f t="shared" si="69"/>
        <v>#VALUE!</v>
      </c>
      <c r="S122" s="4" t="e">
        <f t="shared" si="69"/>
        <v>#VALUE!</v>
      </c>
      <c r="T122" s="4" t="e">
        <f t="shared" si="69"/>
        <v>#VALUE!</v>
      </c>
      <c r="U122" s="4" t="e">
        <f t="shared" si="69"/>
        <v>#VALUE!</v>
      </c>
      <c r="V122" s="4" t="e">
        <f t="shared" si="69"/>
        <v>#VALUE!</v>
      </c>
      <c r="W122" s="4" t="e">
        <f t="shared" si="69"/>
        <v>#VALUE!</v>
      </c>
      <c r="X122" s="4" t="e">
        <f t="shared" si="69"/>
        <v>#VALUE!</v>
      </c>
      <c r="Y122" s="4" t="e">
        <f t="shared" si="69"/>
        <v>#VALUE!</v>
      </c>
      <c r="Z122" s="4" t="e">
        <f t="shared" si="69"/>
        <v>#VALUE!</v>
      </c>
      <c r="AA122" s="4" t="e">
        <f t="shared" si="69"/>
        <v>#VALUE!</v>
      </c>
      <c r="AB122" s="4" t="e">
        <f t="shared" si="69"/>
        <v>#VALUE!</v>
      </c>
    </row>
    <row r="123" spans="1:28" s="14" customFormat="1" ht="12.75">
      <c r="A123" s="14" t="s">
        <v>27</v>
      </c>
      <c r="C123" s="15">
        <f aca="true" t="shared" si="70" ref="C123:AB123">SUM(C122:C122)</f>
        <v>50000</v>
      </c>
      <c r="D123" s="15">
        <f t="shared" si="70"/>
        <v>0</v>
      </c>
      <c r="E123" s="15">
        <f t="shared" si="70"/>
        <v>0</v>
      </c>
      <c r="F123" s="15">
        <f t="shared" si="70"/>
        <v>0</v>
      </c>
      <c r="G123" s="15">
        <f t="shared" si="70"/>
        <v>0</v>
      </c>
      <c r="H123" s="15">
        <f t="shared" si="70"/>
        <v>0</v>
      </c>
      <c r="I123" s="15">
        <f t="shared" si="70"/>
        <v>0</v>
      </c>
      <c r="J123" s="15">
        <f t="shared" si="70"/>
        <v>0</v>
      </c>
      <c r="K123" s="15">
        <f t="shared" si="70"/>
        <v>0</v>
      </c>
      <c r="L123" s="15">
        <f t="shared" si="70"/>
        <v>0</v>
      </c>
      <c r="M123" s="15" t="e">
        <f t="shared" si="70"/>
        <v>#VALUE!</v>
      </c>
      <c r="N123" s="15" t="e">
        <f t="shared" si="70"/>
        <v>#VALUE!</v>
      </c>
      <c r="O123" s="15" t="e">
        <f t="shared" si="70"/>
        <v>#VALUE!</v>
      </c>
      <c r="P123" s="15" t="e">
        <f t="shared" si="70"/>
        <v>#VALUE!</v>
      </c>
      <c r="Q123" s="15" t="e">
        <f t="shared" si="70"/>
        <v>#VALUE!</v>
      </c>
      <c r="R123" s="15" t="e">
        <f t="shared" si="70"/>
        <v>#VALUE!</v>
      </c>
      <c r="S123" s="15" t="e">
        <f t="shared" si="70"/>
        <v>#VALUE!</v>
      </c>
      <c r="T123" s="15" t="e">
        <f t="shared" si="70"/>
        <v>#VALUE!</v>
      </c>
      <c r="U123" s="15" t="e">
        <f t="shared" si="70"/>
        <v>#VALUE!</v>
      </c>
      <c r="V123" s="15" t="e">
        <f t="shared" si="70"/>
        <v>#VALUE!</v>
      </c>
      <c r="W123" s="15" t="e">
        <f t="shared" si="70"/>
        <v>#VALUE!</v>
      </c>
      <c r="X123" s="15" t="e">
        <f t="shared" si="70"/>
        <v>#VALUE!</v>
      </c>
      <c r="Y123" s="15" t="e">
        <f t="shared" si="70"/>
        <v>#VALUE!</v>
      </c>
      <c r="Z123" s="15" t="e">
        <f t="shared" si="70"/>
        <v>#VALUE!</v>
      </c>
      <c r="AA123" s="15" t="e">
        <f t="shared" si="70"/>
        <v>#VALUE!</v>
      </c>
      <c r="AB123" s="15" t="e">
        <f t="shared" si="70"/>
        <v>#VALUE!</v>
      </c>
    </row>
    <row r="124" ht="12.75">
      <c r="A124" s="9" t="s">
        <v>29</v>
      </c>
    </row>
    <row r="125" spans="1:28" ht="12.75">
      <c r="A125" t="s">
        <v>30</v>
      </c>
      <c r="C125" s="4">
        <f>$B$26*(C47-0)</f>
        <v>9786.58082156648</v>
      </c>
      <c r="D125" s="4">
        <f>$B$26*(D47-C47)</f>
        <v>19510.9825742261</v>
      </c>
      <c r="E125" s="4">
        <f aca="true" t="shared" si="71" ref="E125:AB125">$B$26*(E47-D47)</f>
        <v>37725.051075556745</v>
      </c>
      <c r="F125" s="4">
        <f t="shared" si="71"/>
        <v>46636.90068769833</v>
      </c>
      <c r="G125" s="4">
        <f t="shared" si="71"/>
        <v>36748.387458910816</v>
      </c>
      <c r="H125" s="4">
        <f t="shared" si="71"/>
        <v>23281.68845906081</v>
      </c>
      <c r="I125" s="4">
        <f t="shared" si="71"/>
        <v>13209.102615678288</v>
      </c>
      <c r="J125" s="4">
        <f t="shared" si="71"/>
        <v>9837.454217937915</v>
      </c>
      <c r="K125" s="4">
        <f t="shared" si="71"/>
        <v>6169.884104867443</v>
      </c>
      <c r="L125" s="4">
        <f t="shared" si="71"/>
        <v>1213.591676870943</v>
      </c>
      <c r="M125" s="4" t="e">
        <f t="shared" si="71"/>
        <v>#VALUE!</v>
      </c>
      <c r="N125" s="4" t="e">
        <f t="shared" si="71"/>
        <v>#VALUE!</v>
      </c>
      <c r="O125" s="4" t="e">
        <f t="shared" si="71"/>
        <v>#VALUE!</v>
      </c>
      <c r="P125" s="4" t="e">
        <f t="shared" si="71"/>
        <v>#VALUE!</v>
      </c>
      <c r="Q125" s="4" t="e">
        <f t="shared" si="71"/>
        <v>#VALUE!</v>
      </c>
      <c r="R125" s="4" t="e">
        <f t="shared" si="71"/>
        <v>#VALUE!</v>
      </c>
      <c r="S125" s="4" t="e">
        <f t="shared" si="71"/>
        <v>#VALUE!</v>
      </c>
      <c r="T125" s="4" t="e">
        <f t="shared" si="71"/>
        <v>#VALUE!</v>
      </c>
      <c r="U125" s="4" t="e">
        <f t="shared" si="71"/>
        <v>#VALUE!</v>
      </c>
      <c r="V125" s="4" t="e">
        <f t="shared" si="71"/>
        <v>#VALUE!</v>
      </c>
      <c r="W125" s="4" t="e">
        <f t="shared" si="71"/>
        <v>#VALUE!</v>
      </c>
      <c r="X125" s="4" t="e">
        <f t="shared" si="71"/>
        <v>#VALUE!</v>
      </c>
      <c r="Y125" s="4" t="e">
        <f t="shared" si="71"/>
        <v>#VALUE!</v>
      </c>
      <c r="Z125" s="4" t="e">
        <f t="shared" si="71"/>
        <v>#VALUE!</v>
      </c>
      <c r="AA125" s="4" t="e">
        <f t="shared" si="71"/>
        <v>#VALUE!</v>
      </c>
      <c r="AB125" s="4" t="e">
        <f t="shared" si="71"/>
        <v>#VALUE!</v>
      </c>
    </row>
    <row r="126" spans="1:28" s="14" customFormat="1" ht="12.75">
      <c r="A126" s="14" t="s">
        <v>27</v>
      </c>
      <c r="C126" s="15">
        <f>C125</f>
        <v>9786.58082156648</v>
      </c>
      <c r="D126" s="15">
        <f aca="true" t="shared" si="72" ref="D126:AB126">D125</f>
        <v>19510.9825742261</v>
      </c>
      <c r="E126" s="15">
        <f t="shared" si="72"/>
        <v>37725.051075556745</v>
      </c>
      <c r="F126" s="15">
        <f t="shared" si="72"/>
        <v>46636.90068769833</v>
      </c>
      <c r="G126" s="15">
        <f t="shared" si="72"/>
        <v>36748.387458910816</v>
      </c>
      <c r="H126" s="15">
        <f t="shared" si="72"/>
        <v>23281.68845906081</v>
      </c>
      <c r="I126" s="15">
        <f t="shared" si="72"/>
        <v>13209.102615678288</v>
      </c>
      <c r="J126" s="15">
        <f t="shared" si="72"/>
        <v>9837.454217937915</v>
      </c>
      <c r="K126" s="15">
        <f t="shared" si="72"/>
        <v>6169.884104867443</v>
      </c>
      <c r="L126" s="15">
        <f t="shared" si="72"/>
        <v>1213.591676870943</v>
      </c>
      <c r="M126" s="15" t="e">
        <f t="shared" si="72"/>
        <v>#VALUE!</v>
      </c>
      <c r="N126" s="15" t="e">
        <f t="shared" si="72"/>
        <v>#VALUE!</v>
      </c>
      <c r="O126" s="15" t="e">
        <f t="shared" si="72"/>
        <v>#VALUE!</v>
      </c>
      <c r="P126" s="15" t="e">
        <f t="shared" si="72"/>
        <v>#VALUE!</v>
      </c>
      <c r="Q126" s="15" t="e">
        <f t="shared" si="72"/>
        <v>#VALUE!</v>
      </c>
      <c r="R126" s="15" t="e">
        <f t="shared" si="72"/>
        <v>#VALUE!</v>
      </c>
      <c r="S126" s="15" t="e">
        <f t="shared" si="72"/>
        <v>#VALUE!</v>
      </c>
      <c r="T126" s="15" t="e">
        <f t="shared" si="72"/>
        <v>#VALUE!</v>
      </c>
      <c r="U126" s="15" t="e">
        <f t="shared" si="72"/>
        <v>#VALUE!</v>
      </c>
      <c r="V126" s="15" t="e">
        <f t="shared" si="72"/>
        <v>#VALUE!</v>
      </c>
      <c r="W126" s="15" t="e">
        <f t="shared" si="72"/>
        <v>#VALUE!</v>
      </c>
      <c r="X126" s="15" t="e">
        <f t="shared" si="72"/>
        <v>#VALUE!</v>
      </c>
      <c r="Y126" s="15" t="e">
        <f t="shared" si="72"/>
        <v>#VALUE!</v>
      </c>
      <c r="Z126" s="15" t="e">
        <f t="shared" si="72"/>
        <v>#VALUE!</v>
      </c>
      <c r="AA126" s="15" t="e">
        <f t="shared" si="72"/>
        <v>#VALUE!</v>
      </c>
      <c r="AB126" s="15" t="e">
        <f t="shared" si="72"/>
        <v>#VALUE!</v>
      </c>
    </row>
    <row r="127" spans="1:28" s="14" customFormat="1" ht="12.75">
      <c r="A127" s="14" t="s">
        <v>62</v>
      </c>
      <c r="C127" s="15">
        <f aca="true" t="shared" si="73" ref="C127:AB127">C117+C120+C123+C126</f>
        <v>239786.5808215665</v>
      </c>
      <c r="D127" s="15">
        <f t="shared" si="73"/>
        <v>19510.9825742261</v>
      </c>
      <c r="E127" s="15">
        <f t="shared" si="73"/>
        <v>37725.051075556745</v>
      </c>
      <c r="F127" s="15">
        <f t="shared" si="73"/>
        <v>46636.90068769833</v>
      </c>
      <c r="G127" s="15">
        <f t="shared" si="73"/>
        <v>36748.387458910816</v>
      </c>
      <c r="H127" s="15">
        <f t="shared" si="73"/>
        <v>46340.67135257855</v>
      </c>
      <c r="I127" s="15">
        <f t="shared" si="73"/>
        <v>13209.102615678288</v>
      </c>
      <c r="J127" s="15">
        <f t="shared" si="73"/>
        <v>9837.454217937915</v>
      </c>
      <c r="K127" s="15">
        <f t="shared" si="73"/>
        <v>6169.884104867443</v>
      </c>
      <c r="L127" s="15">
        <f t="shared" si="73"/>
        <v>1213.591676870943</v>
      </c>
      <c r="M127" s="15" t="e">
        <f t="shared" si="73"/>
        <v>#VALUE!</v>
      </c>
      <c r="N127" s="15" t="e">
        <f t="shared" si="73"/>
        <v>#VALUE!</v>
      </c>
      <c r="O127" s="15" t="e">
        <f t="shared" si="73"/>
        <v>#VALUE!</v>
      </c>
      <c r="P127" s="15" t="e">
        <f t="shared" si="73"/>
        <v>#VALUE!</v>
      </c>
      <c r="Q127" s="15" t="e">
        <f t="shared" si="73"/>
        <v>#VALUE!</v>
      </c>
      <c r="R127" s="15" t="e">
        <f t="shared" si="73"/>
        <v>#VALUE!</v>
      </c>
      <c r="S127" s="15" t="e">
        <f t="shared" si="73"/>
        <v>#VALUE!</v>
      </c>
      <c r="T127" s="15" t="e">
        <f t="shared" si="73"/>
        <v>#VALUE!</v>
      </c>
      <c r="U127" s="15" t="e">
        <f t="shared" si="73"/>
        <v>#VALUE!</v>
      </c>
      <c r="V127" s="15" t="e">
        <f t="shared" si="73"/>
        <v>#VALUE!</v>
      </c>
      <c r="W127" s="15" t="e">
        <f t="shared" si="73"/>
        <v>#VALUE!</v>
      </c>
      <c r="X127" s="15" t="e">
        <f t="shared" si="73"/>
        <v>#VALUE!</v>
      </c>
      <c r="Y127" s="15" t="e">
        <f t="shared" si="73"/>
        <v>#VALUE!</v>
      </c>
      <c r="Z127" s="15" t="e">
        <f t="shared" si="73"/>
        <v>#VALUE!</v>
      </c>
      <c r="AA127" s="15" t="e">
        <f t="shared" si="73"/>
        <v>#VALUE!</v>
      </c>
      <c r="AB127" s="15" t="e">
        <f t="shared" si="73"/>
        <v>#VALUE!</v>
      </c>
    </row>
    <row r="128" spans="3:28" s="10" customFormat="1" ht="13.5" thickBot="1"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</row>
    <row r="129" spans="1:28" s="20" customFormat="1" ht="13.5" thickTop="1">
      <c r="A129" s="22" t="s">
        <v>71</v>
      </c>
      <c r="C129" s="21">
        <f aca="true" t="shared" si="74" ref="C129:AB129">C109-C127</f>
        <v>-342301.35532399046</v>
      </c>
      <c r="D129" s="21">
        <f t="shared" si="74"/>
        <v>-32866.223033925984</v>
      </c>
      <c r="E129" s="21">
        <f t="shared" si="74"/>
        <v>55186.98991365944</v>
      </c>
      <c r="F129" s="21">
        <f t="shared" si="74"/>
        <v>327166.20142371376</v>
      </c>
      <c r="G129" s="21">
        <f t="shared" si="74"/>
        <v>511068.3250771571</v>
      </c>
      <c r="H129" s="21">
        <f t="shared" si="74"/>
        <v>682084.3833094287</v>
      </c>
      <c r="I129" s="21">
        <f t="shared" si="74"/>
        <v>800046.5520640376</v>
      </c>
      <c r="J129" s="21">
        <f t="shared" si="74"/>
        <v>829677.3893247558</v>
      </c>
      <c r="K129" s="21">
        <f t="shared" si="74"/>
        <v>853898.2584585074</v>
      </c>
      <c r="L129" s="21">
        <f t="shared" si="74"/>
        <v>905151.1233405134</v>
      </c>
      <c r="M129" s="21" t="e">
        <f t="shared" si="74"/>
        <v>#VALUE!</v>
      </c>
      <c r="N129" s="21" t="e">
        <f t="shared" si="74"/>
        <v>#VALUE!</v>
      </c>
      <c r="O129" s="21" t="e">
        <f t="shared" si="74"/>
        <v>#VALUE!</v>
      </c>
      <c r="P129" s="21" t="e">
        <f t="shared" si="74"/>
        <v>#VALUE!</v>
      </c>
      <c r="Q129" s="21" t="e">
        <f t="shared" si="74"/>
        <v>#VALUE!</v>
      </c>
      <c r="R129" s="21" t="e">
        <f t="shared" si="74"/>
        <v>#VALUE!</v>
      </c>
      <c r="S129" s="21" t="e">
        <f t="shared" si="74"/>
        <v>#VALUE!</v>
      </c>
      <c r="T129" s="21" t="e">
        <f t="shared" si="74"/>
        <v>#VALUE!</v>
      </c>
      <c r="U129" s="21" t="e">
        <f t="shared" si="74"/>
        <v>#VALUE!</v>
      </c>
      <c r="V129" s="21" t="e">
        <f t="shared" si="74"/>
        <v>#VALUE!</v>
      </c>
      <c r="W129" s="21" t="e">
        <f t="shared" si="74"/>
        <v>#VALUE!</v>
      </c>
      <c r="X129" s="21" t="e">
        <f t="shared" si="74"/>
        <v>#VALUE!</v>
      </c>
      <c r="Y129" s="21" t="e">
        <f t="shared" si="74"/>
        <v>#VALUE!</v>
      </c>
      <c r="Z129" s="21" t="e">
        <f t="shared" si="74"/>
        <v>#VALUE!</v>
      </c>
      <c r="AA129" s="21" t="e">
        <f t="shared" si="74"/>
        <v>#VALUE!</v>
      </c>
      <c r="AB129" s="21" t="e">
        <f t="shared" si="74"/>
        <v>#VALUE!</v>
      </c>
    </row>
    <row r="130" spans="1:28" s="10" customFormat="1" ht="12.75">
      <c r="A130" s="33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</row>
    <row r="131" spans="1:28" s="10" customFormat="1" ht="12.75">
      <c r="A131" s="33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</row>
    <row r="132" spans="1:28" s="10" customFormat="1" ht="12.75">
      <c r="A132" s="33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</row>
    <row r="133" ht="15.75">
      <c r="A133" s="31" t="s">
        <v>120</v>
      </c>
    </row>
    <row r="134" ht="12.75">
      <c r="A134" s="17" t="s">
        <v>109</v>
      </c>
    </row>
    <row r="135" spans="1:28" s="10" customFormat="1" ht="12.75">
      <c r="A135" s="9" t="s">
        <v>79</v>
      </c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</row>
    <row r="136" spans="1:28" s="10" customFormat="1" ht="12.75">
      <c r="A136" s="18" t="s">
        <v>123</v>
      </c>
      <c r="B136" s="40">
        <v>14300000</v>
      </c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</row>
    <row r="137" spans="1:28" s="10" customFormat="1" ht="12.75">
      <c r="A137" s="18" t="s">
        <v>104</v>
      </c>
      <c r="B137" s="29">
        <v>1.37</v>
      </c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</row>
    <row r="138" spans="1:28" s="10" customFormat="1" ht="12.75">
      <c r="A138" s="18" t="s">
        <v>136</v>
      </c>
      <c r="B138" s="25">
        <v>0.067</v>
      </c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</row>
    <row r="139" spans="1:28" s="10" customFormat="1" ht="12.75">
      <c r="A139" s="18" t="s">
        <v>105</v>
      </c>
      <c r="B139" s="26">
        <v>1</v>
      </c>
      <c r="C139" s="27"/>
      <c r="D139" s="25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</row>
    <row r="140" spans="1:28" s="10" customFormat="1" ht="12.75">
      <c r="A140" s="18" t="s">
        <v>137</v>
      </c>
      <c r="B140" s="25">
        <v>0.142</v>
      </c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</row>
    <row r="141" spans="1:28" s="10" customFormat="1" ht="12.75">
      <c r="A141" s="18" t="s">
        <v>106</v>
      </c>
      <c r="B141" s="25">
        <v>0.088</v>
      </c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</row>
    <row r="142" spans="1:28" s="10" customFormat="1" ht="12.75">
      <c r="A142" s="18" t="s">
        <v>112</v>
      </c>
      <c r="B142" s="25">
        <v>0.02</v>
      </c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</row>
    <row r="143" spans="1:28" s="10" customFormat="1" ht="12.75">
      <c r="A143" s="18" t="s">
        <v>74</v>
      </c>
      <c r="B143" s="5">
        <v>10</v>
      </c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</row>
    <row r="144" spans="1:28" s="10" customFormat="1" ht="12.75">
      <c r="A144" s="18" t="s">
        <v>107</v>
      </c>
      <c r="B144" s="5">
        <v>507000000</v>
      </c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</row>
    <row r="145" spans="1:28" s="10" customFormat="1" ht="12.75">
      <c r="A145" s="18" t="s">
        <v>81</v>
      </c>
      <c r="B145" s="30">
        <v>20.5</v>
      </c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</row>
    <row r="146" spans="1:28" s="10" customFormat="1" ht="12.75">
      <c r="A146" s="18"/>
      <c r="B146" s="4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</row>
    <row r="147" spans="1:28" s="10" customFormat="1" ht="12.75">
      <c r="A147" s="9" t="s">
        <v>80</v>
      </c>
      <c r="B147" s="25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</row>
    <row r="148" spans="1:28" s="10" customFormat="1" ht="12.75">
      <c r="A148" s="18" t="s">
        <v>72</v>
      </c>
      <c r="B148" s="25">
        <f>B138+B139*(B140-B138)</f>
        <v>0.142</v>
      </c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</row>
    <row r="149" spans="1:28" s="10" customFormat="1" ht="12.75">
      <c r="A149" s="18" t="s">
        <v>125</v>
      </c>
      <c r="B149" s="25">
        <f>(B151/B150)*B148</f>
        <v>0.1720507900677201</v>
      </c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</row>
    <row r="150" spans="1:28" s="10" customFormat="1" ht="12.75">
      <c r="A150" s="18" t="s">
        <v>124</v>
      </c>
      <c r="B150" s="25">
        <f>(1/(1+B137))*B148+(B137/(B137+1))*B141*(1-$B$22)</f>
        <v>0.09450666666666666</v>
      </c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</row>
    <row r="151" spans="1:28" s="10" customFormat="1" ht="12.75">
      <c r="A151" s="18" t="s">
        <v>126</v>
      </c>
      <c r="B151" s="25">
        <f>(1/(1+B137))*B148+(B137/(B137+1))*B141*(1-$B$22)+B142</f>
        <v>0.11450666666666666</v>
      </c>
      <c r="C151" s="25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</row>
    <row r="152" spans="1:28" s="10" customFormat="1" ht="12.75">
      <c r="A152" s="18" t="s">
        <v>135</v>
      </c>
      <c r="B152" s="4">
        <f ca="1">NPV($B$151,C127:OFFSET(C127,0,$B$8-1,1,1))+(1/(1+$B$151)^$B$8)*(INDEX(C127:AB127,1,$B$8)/$B$151)</f>
        <v>350525.3170007099</v>
      </c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</row>
    <row r="153" spans="1:28" s="10" customFormat="1" ht="12.75">
      <c r="A153" s="18" t="s">
        <v>121</v>
      </c>
      <c r="B153" s="4">
        <f>(1/(1+B137))*B152</f>
        <v>147900.9776374303</v>
      </c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</row>
    <row r="154" spans="1:28" s="10" customFormat="1" ht="12.75">
      <c r="A154" s="18" t="s">
        <v>122</v>
      </c>
      <c r="B154" s="4">
        <f>(B137/(B137+1))*B152</f>
        <v>202624.33936327958</v>
      </c>
      <c r="C154" s="27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</row>
    <row r="155" spans="1:28" s="10" customFormat="1" ht="12.75">
      <c r="A155" s="18" t="s">
        <v>94</v>
      </c>
      <c r="B155" s="5">
        <f>B144*(B5/(B136/B6))</f>
        <v>544581.8181818181</v>
      </c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</row>
    <row r="156" spans="1:28" s="10" customFormat="1" ht="12.75">
      <c r="A156" s="18" t="s">
        <v>82</v>
      </c>
      <c r="B156" s="5">
        <f>B153/B145</f>
        <v>7214.68183597221</v>
      </c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</row>
    <row r="157" spans="1:28" s="10" customFormat="1" ht="12.75">
      <c r="A157" s="18" t="s">
        <v>95</v>
      </c>
      <c r="B157" s="4">
        <f>SLN(B154,0,B143)</f>
        <v>20262.433936327958</v>
      </c>
      <c r="C157" s="27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</row>
    <row r="158" spans="3:28" s="10" customFormat="1" ht="12.75"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</row>
    <row r="159" spans="1:28" s="10" customFormat="1" ht="12.75">
      <c r="A159" s="6" t="s">
        <v>50</v>
      </c>
      <c r="B159" s="4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</row>
    <row r="160" spans="1:28" s="10" customFormat="1" ht="12.75">
      <c r="A160" s="18" t="s">
        <v>49</v>
      </c>
      <c r="B160" s="24"/>
      <c r="C160" s="11">
        <f aca="true" t="shared" si="75" ref="C160:AB160">C96</f>
        <v>-138514.774502424</v>
      </c>
      <c r="D160" s="11">
        <f t="shared" si="75"/>
        <v>-49355.24045969988</v>
      </c>
      <c r="E160" s="11">
        <f t="shared" si="75"/>
        <v>56912.040989216184</v>
      </c>
      <c r="F160" s="11">
        <f t="shared" si="75"/>
        <v>435141.98594129656</v>
      </c>
      <c r="G160" s="11">
        <f t="shared" si="75"/>
        <v>752671.636082453</v>
      </c>
      <c r="H160" s="11">
        <f t="shared" si="75"/>
        <v>1064431.2618872114</v>
      </c>
      <c r="I160" s="11">
        <f t="shared" si="75"/>
        <v>1189182.1442661947</v>
      </c>
      <c r="J160" s="11">
        <f t="shared" si="75"/>
        <v>1227798.598476456</v>
      </c>
      <c r="K160" s="11">
        <f t="shared" si="75"/>
        <v>1258024.038212752</v>
      </c>
      <c r="L160" s="11">
        <f t="shared" si="75"/>
        <v>1326107.23299806</v>
      </c>
      <c r="M160" s="11" t="e">
        <f t="shared" si="75"/>
        <v>#VALUE!</v>
      </c>
      <c r="N160" s="11" t="e">
        <f t="shared" si="75"/>
        <v>#VALUE!</v>
      </c>
      <c r="O160" s="11" t="e">
        <f t="shared" si="75"/>
        <v>#VALUE!</v>
      </c>
      <c r="P160" s="11" t="e">
        <f t="shared" si="75"/>
        <v>#VALUE!</v>
      </c>
      <c r="Q160" s="11" t="e">
        <f t="shared" si="75"/>
        <v>#VALUE!</v>
      </c>
      <c r="R160" s="11" t="e">
        <f t="shared" si="75"/>
        <v>#VALUE!</v>
      </c>
      <c r="S160" s="11" t="e">
        <f t="shared" si="75"/>
        <v>#VALUE!</v>
      </c>
      <c r="T160" s="11" t="e">
        <f t="shared" si="75"/>
        <v>#VALUE!</v>
      </c>
      <c r="U160" s="11" t="e">
        <f t="shared" si="75"/>
        <v>#VALUE!</v>
      </c>
      <c r="V160" s="11" t="e">
        <f t="shared" si="75"/>
        <v>#VALUE!</v>
      </c>
      <c r="W160" s="11" t="e">
        <f t="shared" si="75"/>
        <v>#VALUE!</v>
      </c>
      <c r="X160" s="11" t="e">
        <f t="shared" si="75"/>
        <v>#VALUE!</v>
      </c>
      <c r="Y160" s="11" t="e">
        <f t="shared" si="75"/>
        <v>#VALUE!</v>
      </c>
      <c r="Z160" s="11" t="e">
        <f t="shared" si="75"/>
        <v>#VALUE!</v>
      </c>
      <c r="AA160" s="11" t="e">
        <f t="shared" si="75"/>
        <v>#VALUE!</v>
      </c>
      <c r="AB160" s="11" t="e">
        <f t="shared" si="75"/>
        <v>#VALUE!</v>
      </c>
    </row>
    <row r="161" spans="1:28" s="10" customFormat="1" ht="12.75">
      <c r="A161" s="18"/>
      <c r="B161" s="24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</row>
    <row r="162" spans="1:28" s="10" customFormat="1" ht="12.75">
      <c r="A162" s="17" t="s">
        <v>76</v>
      </c>
      <c r="B162" s="24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</row>
    <row r="163" spans="1:28" s="10" customFormat="1" ht="12.75">
      <c r="A163" s="18" t="s">
        <v>73</v>
      </c>
      <c r="B163" s="24"/>
      <c r="C163" s="11">
        <f aca="true" t="shared" si="76" ref="C163:AB163">IF($B$141*($B$154-(C30-1)*$B$157)&lt;0,0,$B$141*($B$154-(C30-1)*$B$157))</f>
        <v>17830.9418639686</v>
      </c>
      <c r="D163" s="11">
        <f t="shared" si="76"/>
        <v>16047.84767757174</v>
      </c>
      <c r="E163" s="11">
        <f t="shared" si="76"/>
        <v>14264.75349117488</v>
      </c>
      <c r="F163" s="11">
        <f t="shared" si="76"/>
        <v>12481.65930477802</v>
      </c>
      <c r="G163" s="11">
        <f t="shared" si="76"/>
        <v>10698.56511838116</v>
      </c>
      <c r="H163" s="11">
        <f t="shared" si="76"/>
        <v>8915.4709319843</v>
      </c>
      <c r="I163" s="11">
        <f t="shared" si="76"/>
        <v>7132.37674558744</v>
      </c>
      <c r="J163" s="11">
        <f t="shared" si="76"/>
        <v>5349.28255919058</v>
      </c>
      <c r="K163" s="11">
        <f t="shared" si="76"/>
        <v>3566.18837279372</v>
      </c>
      <c r="L163" s="11">
        <f t="shared" si="76"/>
        <v>1783.09418639686</v>
      </c>
      <c r="M163" s="11" t="e">
        <f t="shared" si="76"/>
        <v>#VALUE!</v>
      </c>
      <c r="N163" s="11" t="e">
        <f t="shared" si="76"/>
        <v>#VALUE!</v>
      </c>
      <c r="O163" s="11" t="e">
        <f t="shared" si="76"/>
        <v>#VALUE!</v>
      </c>
      <c r="P163" s="11" t="e">
        <f t="shared" si="76"/>
        <v>#VALUE!</v>
      </c>
      <c r="Q163" s="11" t="e">
        <f t="shared" si="76"/>
        <v>#VALUE!</v>
      </c>
      <c r="R163" s="11" t="e">
        <f t="shared" si="76"/>
        <v>#VALUE!</v>
      </c>
      <c r="S163" s="11" t="e">
        <f t="shared" si="76"/>
        <v>#VALUE!</v>
      </c>
      <c r="T163" s="11" t="e">
        <f t="shared" si="76"/>
        <v>#VALUE!</v>
      </c>
      <c r="U163" s="11" t="e">
        <f t="shared" si="76"/>
        <v>#VALUE!</v>
      </c>
      <c r="V163" s="11" t="e">
        <f t="shared" si="76"/>
        <v>#VALUE!</v>
      </c>
      <c r="W163" s="11" t="e">
        <f t="shared" si="76"/>
        <v>#VALUE!</v>
      </c>
      <c r="X163" s="11" t="e">
        <f t="shared" si="76"/>
        <v>#VALUE!</v>
      </c>
      <c r="Y163" s="11" t="e">
        <f t="shared" si="76"/>
        <v>#VALUE!</v>
      </c>
      <c r="Z163" s="11" t="e">
        <f t="shared" si="76"/>
        <v>#VALUE!</v>
      </c>
      <c r="AA163" s="11" t="e">
        <f t="shared" si="76"/>
        <v>#VALUE!</v>
      </c>
      <c r="AB163" s="11" t="e">
        <f t="shared" si="76"/>
        <v>#VALUE!</v>
      </c>
    </row>
    <row r="164" spans="1:28" s="10" customFormat="1" ht="12.75">
      <c r="A164" s="18"/>
      <c r="B164" s="24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</row>
    <row r="165" spans="1:28" s="10" customFormat="1" ht="12.75">
      <c r="A165" s="33" t="s">
        <v>77</v>
      </c>
      <c r="B165" s="24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</row>
    <row r="166" spans="1:28" s="10" customFormat="1" ht="12.75">
      <c r="A166" s="28" t="s">
        <v>75</v>
      </c>
      <c r="B166" s="24"/>
      <c r="C166" s="11">
        <f aca="true" t="shared" si="77" ref="C166:AB166">C160-C163</f>
        <v>-156345.7163663926</v>
      </c>
      <c r="D166" s="11">
        <f t="shared" si="77"/>
        <v>-65403.088137271625</v>
      </c>
      <c r="E166" s="11">
        <f t="shared" si="77"/>
        <v>42647.2874980413</v>
      </c>
      <c r="F166" s="11">
        <f t="shared" si="77"/>
        <v>422660.3266365185</v>
      </c>
      <c r="G166" s="11">
        <f t="shared" si="77"/>
        <v>741973.0709640718</v>
      </c>
      <c r="H166" s="11">
        <f t="shared" si="77"/>
        <v>1055515.790955227</v>
      </c>
      <c r="I166" s="11">
        <f t="shared" si="77"/>
        <v>1182049.7675206072</v>
      </c>
      <c r="J166" s="11">
        <f t="shared" si="77"/>
        <v>1222449.3159172654</v>
      </c>
      <c r="K166" s="11">
        <f t="shared" si="77"/>
        <v>1254457.8498399584</v>
      </c>
      <c r="L166" s="11">
        <f t="shared" si="77"/>
        <v>1324324.1388116633</v>
      </c>
      <c r="M166" s="11" t="e">
        <f t="shared" si="77"/>
        <v>#VALUE!</v>
      </c>
      <c r="N166" s="11" t="e">
        <f t="shared" si="77"/>
        <v>#VALUE!</v>
      </c>
      <c r="O166" s="11" t="e">
        <f t="shared" si="77"/>
        <v>#VALUE!</v>
      </c>
      <c r="P166" s="11" t="e">
        <f t="shared" si="77"/>
        <v>#VALUE!</v>
      </c>
      <c r="Q166" s="11" t="e">
        <f t="shared" si="77"/>
        <v>#VALUE!</v>
      </c>
      <c r="R166" s="11" t="e">
        <f t="shared" si="77"/>
        <v>#VALUE!</v>
      </c>
      <c r="S166" s="11" t="e">
        <f t="shared" si="77"/>
        <v>#VALUE!</v>
      </c>
      <c r="T166" s="11" t="e">
        <f t="shared" si="77"/>
        <v>#VALUE!</v>
      </c>
      <c r="U166" s="11" t="e">
        <f t="shared" si="77"/>
        <v>#VALUE!</v>
      </c>
      <c r="V166" s="11" t="e">
        <f t="shared" si="77"/>
        <v>#VALUE!</v>
      </c>
      <c r="W166" s="11" t="e">
        <f t="shared" si="77"/>
        <v>#VALUE!</v>
      </c>
      <c r="X166" s="11" t="e">
        <f t="shared" si="77"/>
        <v>#VALUE!</v>
      </c>
      <c r="Y166" s="11" t="e">
        <f t="shared" si="77"/>
        <v>#VALUE!</v>
      </c>
      <c r="Z166" s="11" t="e">
        <f t="shared" si="77"/>
        <v>#VALUE!</v>
      </c>
      <c r="AA166" s="11" t="e">
        <f t="shared" si="77"/>
        <v>#VALUE!</v>
      </c>
      <c r="AB166" s="11" t="e">
        <f t="shared" si="77"/>
        <v>#VALUE!</v>
      </c>
    </row>
    <row r="167" spans="1:28" s="10" customFormat="1" ht="12.75">
      <c r="A167" s="28"/>
      <c r="B167" s="24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</row>
    <row r="168" spans="1:28" s="10" customFormat="1" ht="12.75">
      <c r="A168" s="17" t="s">
        <v>52</v>
      </c>
      <c r="B168" s="24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</row>
    <row r="169" spans="1:28" s="10" customFormat="1" ht="12.75">
      <c r="A169" s="18" t="s">
        <v>53</v>
      </c>
      <c r="B169" s="24"/>
      <c r="C169" s="11">
        <f aca="true" t="shared" si="78" ref="C169:AB169">$B$22*C166</f>
        <v>-50030.62923724563</v>
      </c>
      <c r="D169" s="11">
        <f t="shared" si="78"/>
        <v>-20928.98820392692</v>
      </c>
      <c r="E169" s="11">
        <f t="shared" si="78"/>
        <v>13647.131999373218</v>
      </c>
      <c r="F169" s="11">
        <f t="shared" si="78"/>
        <v>135251.30452368592</v>
      </c>
      <c r="G169" s="11">
        <f t="shared" si="78"/>
        <v>237431.38270850296</v>
      </c>
      <c r="H169" s="11">
        <f t="shared" si="78"/>
        <v>337765.0531056727</v>
      </c>
      <c r="I169" s="11">
        <f t="shared" si="78"/>
        <v>378255.9256065943</v>
      </c>
      <c r="J169" s="11">
        <f t="shared" si="78"/>
        <v>391183.78109352494</v>
      </c>
      <c r="K169" s="11">
        <f t="shared" si="78"/>
        <v>401426.5119487867</v>
      </c>
      <c r="L169" s="11">
        <f t="shared" si="78"/>
        <v>423783.7244197322</v>
      </c>
      <c r="M169" s="11" t="e">
        <f t="shared" si="78"/>
        <v>#VALUE!</v>
      </c>
      <c r="N169" s="11" t="e">
        <f t="shared" si="78"/>
        <v>#VALUE!</v>
      </c>
      <c r="O169" s="11" t="e">
        <f t="shared" si="78"/>
        <v>#VALUE!</v>
      </c>
      <c r="P169" s="11" t="e">
        <f t="shared" si="78"/>
        <v>#VALUE!</v>
      </c>
      <c r="Q169" s="11" t="e">
        <f t="shared" si="78"/>
        <v>#VALUE!</v>
      </c>
      <c r="R169" s="11" t="e">
        <f t="shared" si="78"/>
        <v>#VALUE!</v>
      </c>
      <c r="S169" s="11" t="e">
        <f t="shared" si="78"/>
        <v>#VALUE!</v>
      </c>
      <c r="T169" s="11" t="e">
        <f t="shared" si="78"/>
        <v>#VALUE!</v>
      </c>
      <c r="U169" s="11" t="e">
        <f t="shared" si="78"/>
        <v>#VALUE!</v>
      </c>
      <c r="V169" s="11" t="e">
        <f t="shared" si="78"/>
        <v>#VALUE!</v>
      </c>
      <c r="W169" s="11" t="e">
        <f t="shared" si="78"/>
        <v>#VALUE!</v>
      </c>
      <c r="X169" s="11" t="e">
        <f t="shared" si="78"/>
        <v>#VALUE!</v>
      </c>
      <c r="Y169" s="11" t="e">
        <f t="shared" si="78"/>
        <v>#VALUE!</v>
      </c>
      <c r="Z169" s="11" t="e">
        <f t="shared" si="78"/>
        <v>#VALUE!</v>
      </c>
      <c r="AA169" s="11" t="e">
        <f t="shared" si="78"/>
        <v>#VALUE!</v>
      </c>
      <c r="AB169" s="11" t="e">
        <f t="shared" si="78"/>
        <v>#VALUE!</v>
      </c>
    </row>
    <row r="170" spans="1:28" s="10" customFormat="1" ht="12.75">
      <c r="A170" t="s">
        <v>56</v>
      </c>
      <c r="B170"/>
      <c r="C170" s="4">
        <v>0</v>
      </c>
      <c r="D170" s="4">
        <f aca="true" t="shared" si="79" ref="D170:AB170">C172</f>
        <v>-50030.62923724563</v>
      </c>
      <c r="E170" s="4">
        <f t="shared" si="79"/>
        <v>-70959.61744117255</v>
      </c>
      <c r="F170" s="4">
        <f t="shared" si="79"/>
        <v>-57312.485441799334</v>
      </c>
      <c r="G170" s="4">
        <f t="shared" si="79"/>
        <v>0</v>
      </c>
      <c r="H170" s="4">
        <f t="shared" si="79"/>
        <v>0</v>
      </c>
      <c r="I170" s="4">
        <f t="shared" si="79"/>
        <v>0</v>
      </c>
      <c r="J170" s="4">
        <f t="shared" si="79"/>
        <v>0</v>
      </c>
      <c r="K170" s="4">
        <f t="shared" si="79"/>
        <v>0</v>
      </c>
      <c r="L170" s="4">
        <f t="shared" si="79"/>
        <v>0</v>
      </c>
      <c r="M170" s="4">
        <f t="shared" si="79"/>
        <v>0</v>
      </c>
      <c r="N170" s="4" t="e">
        <f t="shared" si="79"/>
        <v>#VALUE!</v>
      </c>
      <c r="O170" s="4" t="e">
        <f t="shared" si="79"/>
        <v>#VALUE!</v>
      </c>
      <c r="P170" s="4" t="e">
        <f t="shared" si="79"/>
        <v>#VALUE!</v>
      </c>
      <c r="Q170" s="4" t="e">
        <f t="shared" si="79"/>
        <v>#VALUE!</v>
      </c>
      <c r="R170" s="4" t="e">
        <f t="shared" si="79"/>
        <v>#VALUE!</v>
      </c>
      <c r="S170" s="4" t="e">
        <f t="shared" si="79"/>
        <v>#VALUE!</v>
      </c>
      <c r="T170" s="4" t="e">
        <f t="shared" si="79"/>
        <v>#VALUE!</v>
      </c>
      <c r="U170" s="4" t="e">
        <f t="shared" si="79"/>
        <v>#VALUE!</v>
      </c>
      <c r="V170" s="4" t="e">
        <f t="shared" si="79"/>
        <v>#VALUE!</v>
      </c>
      <c r="W170" s="4" t="e">
        <f t="shared" si="79"/>
        <v>#VALUE!</v>
      </c>
      <c r="X170" s="4" t="e">
        <f t="shared" si="79"/>
        <v>#VALUE!</v>
      </c>
      <c r="Y170" s="4" t="e">
        <f t="shared" si="79"/>
        <v>#VALUE!</v>
      </c>
      <c r="Z170" s="4" t="e">
        <f t="shared" si="79"/>
        <v>#VALUE!</v>
      </c>
      <c r="AA170" s="4" t="e">
        <f t="shared" si="79"/>
        <v>#VALUE!</v>
      </c>
      <c r="AB170" s="4" t="e">
        <f t="shared" si="79"/>
        <v>#VALUE!</v>
      </c>
    </row>
    <row r="171" spans="1:28" s="10" customFormat="1" ht="12.75">
      <c r="A171" t="s">
        <v>55</v>
      </c>
      <c r="B171"/>
      <c r="C171" s="4">
        <f aca="true" t="shared" si="80" ref="C171:AB171">IF(C169&gt;0,IF(C169&gt;-C170,C170,-C169),0)</f>
        <v>0</v>
      </c>
      <c r="D171" s="4">
        <f t="shared" si="80"/>
        <v>0</v>
      </c>
      <c r="E171" s="4">
        <f t="shared" si="80"/>
        <v>-13647.131999373218</v>
      </c>
      <c r="F171" s="4">
        <f t="shared" si="80"/>
        <v>-57312.485441799334</v>
      </c>
      <c r="G171" s="4">
        <f t="shared" si="80"/>
        <v>0</v>
      </c>
      <c r="H171" s="4">
        <f t="shared" si="80"/>
        <v>0</v>
      </c>
      <c r="I171" s="4">
        <f t="shared" si="80"/>
        <v>0</v>
      </c>
      <c r="J171" s="4">
        <f t="shared" si="80"/>
        <v>0</v>
      </c>
      <c r="K171" s="4">
        <f t="shared" si="80"/>
        <v>0</v>
      </c>
      <c r="L171" s="4">
        <f t="shared" si="80"/>
        <v>0</v>
      </c>
      <c r="M171" s="4" t="e">
        <f t="shared" si="80"/>
        <v>#VALUE!</v>
      </c>
      <c r="N171" s="4" t="e">
        <f t="shared" si="80"/>
        <v>#VALUE!</v>
      </c>
      <c r="O171" s="4" t="e">
        <f t="shared" si="80"/>
        <v>#VALUE!</v>
      </c>
      <c r="P171" s="4" t="e">
        <f t="shared" si="80"/>
        <v>#VALUE!</v>
      </c>
      <c r="Q171" s="4" t="e">
        <f t="shared" si="80"/>
        <v>#VALUE!</v>
      </c>
      <c r="R171" s="4" t="e">
        <f t="shared" si="80"/>
        <v>#VALUE!</v>
      </c>
      <c r="S171" s="4" t="e">
        <f t="shared" si="80"/>
        <v>#VALUE!</v>
      </c>
      <c r="T171" s="4" t="e">
        <f t="shared" si="80"/>
        <v>#VALUE!</v>
      </c>
      <c r="U171" s="4" t="e">
        <f t="shared" si="80"/>
        <v>#VALUE!</v>
      </c>
      <c r="V171" s="4" t="e">
        <f t="shared" si="80"/>
        <v>#VALUE!</v>
      </c>
      <c r="W171" s="4" t="e">
        <f t="shared" si="80"/>
        <v>#VALUE!</v>
      </c>
      <c r="X171" s="4" t="e">
        <f t="shared" si="80"/>
        <v>#VALUE!</v>
      </c>
      <c r="Y171" s="4" t="e">
        <f t="shared" si="80"/>
        <v>#VALUE!</v>
      </c>
      <c r="Z171" s="4" t="e">
        <f t="shared" si="80"/>
        <v>#VALUE!</v>
      </c>
      <c r="AA171" s="4" t="e">
        <f t="shared" si="80"/>
        <v>#VALUE!</v>
      </c>
      <c r="AB171" s="4" t="e">
        <f t="shared" si="80"/>
        <v>#VALUE!</v>
      </c>
    </row>
    <row r="172" spans="1:28" s="10" customFormat="1" ht="12.75">
      <c r="A172" s="7" t="s">
        <v>57</v>
      </c>
      <c r="B172" s="7"/>
      <c r="C172" s="8">
        <f aca="true" t="shared" si="81" ref="C172:AB172">IF(C169&lt;0,C169,0)+C170-C171</f>
        <v>-50030.62923724563</v>
      </c>
      <c r="D172" s="8">
        <f t="shared" si="81"/>
        <v>-70959.61744117255</v>
      </c>
      <c r="E172" s="8">
        <f t="shared" si="81"/>
        <v>-57312.485441799334</v>
      </c>
      <c r="F172" s="8">
        <f t="shared" si="81"/>
        <v>0</v>
      </c>
      <c r="G172" s="8">
        <f t="shared" si="81"/>
        <v>0</v>
      </c>
      <c r="H172" s="8">
        <f t="shared" si="81"/>
        <v>0</v>
      </c>
      <c r="I172" s="8">
        <f t="shared" si="81"/>
        <v>0</v>
      </c>
      <c r="J172" s="8">
        <f t="shared" si="81"/>
        <v>0</v>
      </c>
      <c r="K172" s="8">
        <f t="shared" si="81"/>
        <v>0</v>
      </c>
      <c r="L172" s="8">
        <f t="shared" si="81"/>
        <v>0</v>
      </c>
      <c r="M172" s="8" t="e">
        <f t="shared" si="81"/>
        <v>#VALUE!</v>
      </c>
      <c r="N172" s="8" t="e">
        <f t="shared" si="81"/>
        <v>#VALUE!</v>
      </c>
      <c r="O172" s="8" t="e">
        <f t="shared" si="81"/>
        <v>#VALUE!</v>
      </c>
      <c r="P172" s="8" t="e">
        <f t="shared" si="81"/>
        <v>#VALUE!</v>
      </c>
      <c r="Q172" s="8" t="e">
        <f t="shared" si="81"/>
        <v>#VALUE!</v>
      </c>
      <c r="R172" s="8" t="e">
        <f t="shared" si="81"/>
        <v>#VALUE!</v>
      </c>
      <c r="S172" s="8" t="e">
        <f t="shared" si="81"/>
        <v>#VALUE!</v>
      </c>
      <c r="T172" s="8" t="e">
        <f t="shared" si="81"/>
        <v>#VALUE!</v>
      </c>
      <c r="U172" s="8" t="e">
        <f t="shared" si="81"/>
        <v>#VALUE!</v>
      </c>
      <c r="V172" s="8" t="e">
        <f t="shared" si="81"/>
        <v>#VALUE!</v>
      </c>
      <c r="W172" s="8" t="e">
        <f t="shared" si="81"/>
        <v>#VALUE!</v>
      </c>
      <c r="X172" s="8" t="e">
        <f t="shared" si="81"/>
        <v>#VALUE!</v>
      </c>
      <c r="Y172" s="8" t="e">
        <f t="shared" si="81"/>
        <v>#VALUE!</v>
      </c>
      <c r="Z172" s="8" t="e">
        <f t="shared" si="81"/>
        <v>#VALUE!</v>
      </c>
      <c r="AA172" s="8" t="e">
        <f t="shared" si="81"/>
        <v>#VALUE!</v>
      </c>
      <c r="AB172" s="8" t="e">
        <f t="shared" si="81"/>
        <v>#VALUE!</v>
      </c>
    </row>
    <row r="173" spans="1:28" s="10" customFormat="1" ht="12.75">
      <c r="A173" t="s">
        <v>54</v>
      </c>
      <c r="B173"/>
      <c r="C173" s="4">
        <f aca="true" t="shared" si="82" ref="C173:AB173">IF(C169&gt;=0,C169+C171,0)</f>
        <v>0</v>
      </c>
      <c r="D173" s="4">
        <f t="shared" si="82"/>
        <v>0</v>
      </c>
      <c r="E173" s="4">
        <f t="shared" si="82"/>
        <v>0</v>
      </c>
      <c r="F173" s="4">
        <f t="shared" si="82"/>
        <v>77938.81908188658</v>
      </c>
      <c r="G173" s="4">
        <f t="shared" si="82"/>
        <v>237431.38270850296</v>
      </c>
      <c r="H173" s="4">
        <f t="shared" si="82"/>
        <v>337765.0531056727</v>
      </c>
      <c r="I173" s="4">
        <f t="shared" si="82"/>
        <v>378255.9256065943</v>
      </c>
      <c r="J173" s="4">
        <f t="shared" si="82"/>
        <v>391183.78109352494</v>
      </c>
      <c r="K173" s="4">
        <f t="shared" si="82"/>
        <v>401426.5119487867</v>
      </c>
      <c r="L173" s="4">
        <f t="shared" si="82"/>
        <v>423783.7244197322</v>
      </c>
      <c r="M173" s="4" t="e">
        <f t="shared" si="82"/>
        <v>#VALUE!</v>
      </c>
      <c r="N173" s="4" t="e">
        <f t="shared" si="82"/>
        <v>#VALUE!</v>
      </c>
      <c r="O173" s="4" t="e">
        <f t="shared" si="82"/>
        <v>#VALUE!</v>
      </c>
      <c r="P173" s="4" t="e">
        <f t="shared" si="82"/>
        <v>#VALUE!</v>
      </c>
      <c r="Q173" s="4" t="e">
        <f t="shared" si="82"/>
        <v>#VALUE!</v>
      </c>
      <c r="R173" s="4" t="e">
        <f t="shared" si="82"/>
        <v>#VALUE!</v>
      </c>
      <c r="S173" s="4" t="e">
        <f t="shared" si="82"/>
        <v>#VALUE!</v>
      </c>
      <c r="T173" s="4" t="e">
        <f t="shared" si="82"/>
        <v>#VALUE!</v>
      </c>
      <c r="U173" s="4" t="e">
        <f t="shared" si="82"/>
        <v>#VALUE!</v>
      </c>
      <c r="V173" s="4" t="e">
        <f t="shared" si="82"/>
        <v>#VALUE!</v>
      </c>
      <c r="W173" s="4" t="e">
        <f t="shared" si="82"/>
        <v>#VALUE!</v>
      </c>
      <c r="X173" s="4" t="e">
        <f t="shared" si="82"/>
        <v>#VALUE!</v>
      </c>
      <c r="Y173" s="4" t="e">
        <f t="shared" si="82"/>
        <v>#VALUE!</v>
      </c>
      <c r="Z173" s="4" t="e">
        <f t="shared" si="82"/>
        <v>#VALUE!</v>
      </c>
      <c r="AA173" s="4" t="e">
        <f t="shared" si="82"/>
        <v>#VALUE!</v>
      </c>
      <c r="AB173" s="4" t="e">
        <f t="shared" si="82"/>
        <v>#VALUE!</v>
      </c>
    </row>
    <row r="174" spans="1:28" s="10" customFormat="1" ht="12.75">
      <c r="A174"/>
      <c r="B17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</row>
    <row r="175" spans="1:28" s="10" customFormat="1" ht="12.75">
      <c r="A175" s="6" t="s">
        <v>83</v>
      </c>
      <c r="B175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</row>
    <row r="176" spans="1:28" s="10" customFormat="1" ht="12.75">
      <c r="A176" s="18" t="s">
        <v>78</v>
      </c>
      <c r="B176"/>
      <c r="C176" s="4">
        <f aca="true" t="shared" si="83" ref="C176:AB176">C166-C173</f>
        <v>-156345.7163663926</v>
      </c>
      <c r="D176" s="4">
        <f t="shared" si="83"/>
        <v>-65403.088137271625</v>
      </c>
      <c r="E176" s="4">
        <f t="shared" si="83"/>
        <v>42647.2874980413</v>
      </c>
      <c r="F176" s="4">
        <f t="shared" si="83"/>
        <v>344721.5075546319</v>
      </c>
      <c r="G176" s="4">
        <f t="shared" si="83"/>
        <v>504541.68825556885</v>
      </c>
      <c r="H176" s="4">
        <f t="shared" si="83"/>
        <v>717750.7378495544</v>
      </c>
      <c r="I176" s="4">
        <f t="shared" si="83"/>
        <v>803793.8419140129</v>
      </c>
      <c r="J176" s="4">
        <f t="shared" si="83"/>
        <v>831265.5348237404</v>
      </c>
      <c r="K176" s="4">
        <f t="shared" si="83"/>
        <v>853031.3378911717</v>
      </c>
      <c r="L176" s="4">
        <f t="shared" si="83"/>
        <v>900540.414391931</v>
      </c>
      <c r="M176" s="4" t="e">
        <f t="shared" si="83"/>
        <v>#VALUE!</v>
      </c>
      <c r="N176" s="4" t="e">
        <f t="shared" si="83"/>
        <v>#VALUE!</v>
      </c>
      <c r="O176" s="4" t="e">
        <f t="shared" si="83"/>
        <v>#VALUE!</v>
      </c>
      <c r="P176" s="4" t="e">
        <f t="shared" si="83"/>
        <v>#VALUE!</v>
      </c>
      <c r="Q176" s="4" t="e">
        <f t="shared" si="83"/>
        <v>#VALUE!</v>
      </c>
      <c r="R176" s="4" t="e">
        <f t="shared" si="83"/>
        <v>#VALUE!</v>
      </c>
      <c r="S176" s="4" t="e">
        <f t="shared" si="83"/>
        <v>#VALUE!</v>
      </c>
      <c r="T176" s="4" t="e">
        <f t="shared" si="83"/>
        <v>#VALUE!</v>
      </c>
      <c r="U176" s="4" t="e">
        <f t="shared" si="83"/>
        <v>#VALUE!</v>
      </c>
      <c r="V176" s="4" t="e">
        <f t="shared" si="83"/>
        <v>#VALUE!</v>
      </c>
      <c r="W176" s="4" t="e">
        <f t="shared" si="83"/>
        <v>#VALUE!</v>
      </c>
      <c r="X176" s="4" t="e">
        <f t="shared" si="83"/>
        <v>#VALUE!</v>
      </c>
      <c r="Y176" s="4" t="e">
        <f t="shared" si="83"/>
        <v>#VALUE!</v>
      </c>
      <c r="Z176" s="4" t="e">
        <f t="shared" si="83"/>
        <v>#VALUE!</v>
      </c>
      <c r="AA176" s="4" t="e">
        <f t="shared" si="83"/>
        <v>#VALUE!</v>
      </c>
      <c r="AB176" s="4" t="e">
        <f t="shared" si="83"/>
        <v>#VALUE!</v>
      </c>
    </row>
    <row r="177" spans="1:28" s="10" customFormat="1" ht="12.75">
      <c r="A177" s="18"/>
      <c r="B177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</row>
    <row r="178" spans="1:28" s="10" customFormat="1" ht="12.75">
      <c r="A178" s="18" t="s">
        <v>84</v>
      </c>
      <c r="B178"/>
      <c r="C178" s="5">
        <f aca="true" t="shared" si="84" ref="C178:AB178">$B$155+$B$156</f>
        <v>551796.5000177904</v>
      </c>
      <c r="D178" s="5">
        <f t="shared" si="84"/>
        <v>551796.5000177904</v>
      </c>
      <c r="E178" s="5">
        <f t="shared" si="84"/>
        <v>551796.5000177904</v>
      </c>
      <c r="F178" s="5">
        <f t="shared" si="84"/>
        <v>551796.5000177904</v>
      </c>
      <c r="G178" s="5">
        <f t="shared" si="84"/>
        <v>551796.5000177904</v>
      </c>
      <c r="H178" s="5">
        <f t="shared" si="84"/>
        <v>551796.5000177904</v>
      </c>
      <c r="I178" s="5">
        <f t="shared" si="84"/>
        <v>551796.5000177904</v>
      </c>
      <c r="J178" s="5">
        <f t="shared" si="84"/>
        <v>551796.5000177904</v>
      </c>
      <c r="K178" s="5">
        <f t="shared" si="84"/>
        <v>551796.5000177904</v>
      </c>
      <c r="L178" s="5">
        <f t="shared" si="84"/>
        <v>551796.5000177904</v>
      </c>
      <c r="M178" s="5">
        <f t="shared" si="84"/>
        <v>551796.5000177904</v>
      </c>
      <c r="N178" s="5">
        <f t="shared" si="84"/>
        <v>551796.5000177904</v>
      </c>
      <c r="O178" s="5">
        <f t="shared" si="84"/>
        <v>551796.5000177904</v>
      </c>
      <c r="P178" s="5">
        <f t="shared" si="84"/>
        <v>551796.5000177904</v>
      </c>
      <c r="Q178" s="5">
        <f t="shared" si="84"/>
        <v>551796.5000177904</v>
      </c>
      <c r="R178" s="5">
        <f t="shared" si="84"/>
        <v>551796.5000177904</v>
      </c>
      <c r="S178" s="5">
        <f t="shared" si="84"/>
        <v>551796.5000177904</v>
      </c>
      <c r="T178" s="5">
        <f t="shared" si="84"/>
        <v>551796.5000177904</v>
      </c>
      <c r="U178" s="5">
        <f t="shared" si="84"/>
        <v>551796.5000177904</v>
      </c>
      <c r="V178" s="5">
        <f t="shared" si="84"/>
        <v>551796.5000177904</v>
      </c>
      <c r="W178" s="5">
        <f t="shared" si="84"/>
        <v>551796.5000177904</v>
      </c>
      <c r="X178" s="5">
        <f t="shared" si="84"/>
        <v>551796.5000177904</v>
      </c>
      <c r="Y178" s="5">
        <f t="shared" si="84"/>
        <v>551796.5000177904</v>
      </c>
      <c r="Z178" s="5">
        <f t="shared" si="84"/>
        <v>551796.5000177904</v>
      </c>
      <c r="AA178" s="5">
        <f t="shared" si="84"/>
        <v>551796.5000177904</v>
      </c>
      <c r="AB178" s="5">
        <f t="shared" si="84"/>
        <v>551796.5000177904</v>
      </c>
    </row>
    <row r="179" spans="1:28" s="10" customFormat="1" ht="12.75">
      <c r="A179" s="18"/>
      <c r="B179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</row>
    <row r="180" spans="1:28" s="10" customFormat="1" ht="12.75">
      <c r="A180" s="6" t="s">
        <v>86</v>
      </c>
      <c r="B180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</row>
    <row r="181" spans="1:28" s="10" customFormat="1" ht="12.75">
      <c r="A181" s="18" t="s">
        <v>85</v>
      </c>
      <c r="B181"/>
      <c r="C181" s="16">
        <f aca="true" t="shared" si="85" ref="C181:AB181">C176/C178</f>
        <v>-0.28333944916532067</v>
      </c>
      <c r="D181" s="16">
        <f t="shared" si="85"/>
        <v>-0.11852755161579129</v>
      </c>
      <c r="E181" s="16">
        <f t="shared" si="85"/>
        <v>0.07728807177404409</v>
      </c>
      <c r="F181" s="16">
        <f t="shared" si="85"/>
        <v>0.6247257957299799</v>
      </c>
      <c r="G181" s="16">
        <f t="shared" si="85"/>
        <v>0.9143618856576692</v>
      </c>
      <c r="H181" s="16">
        <f t="shared" si="85"/>
        <v>1.300752610475807</v>
      </c>
      <c r="I181" s="16">
        <f t="shared" si="85"/>
        <v>1.4566852850427612</v>
      </c>
      <c r="J181" s="16">
        <f t="shared" si="85"/>
        <v>1.506471198706298</v>
      </c>
      <c r="K181" s="16">
        <f t="shared" si="85"/>
        <v>1.5459165432612734</v>
      </c>
      <c r="L181" s="16">
        <f t="shared" si="85"/>
        <v>1.6320154520061234</v>
      </c>
      <c r="M181" s="16" t="e">
        <f t="shared" si="85"/>
        <v>#VALUE!</v>
      </c>
      <c r="N181" s="16" t="e">
        <f t="shared" si="85"/>
        <v>#VALUE!</v>
      </c>
      <c r="O181" s="16" t="e">
        <f t="shared" si="85"/>
        <v>#VALUE!</v>
      </c>
      <c r="P181" s="16" t="e">
        <f t="shared" si="85"/>
        <v>#VALUE!</v>
      </c>
      <c r="Q181" s="16" t="e">
        <f t="shared" si="85"/>
        <v>#VALUE!</v>
      </c>
      <c r="R181" s="16" t="e">
        <f t="shared" si="85"/>
        <v>#VALUE!</v>
      </c>
      <c r="S181" s="16" t="e">
        <f t="shared" si="85"/>
        <v>#VALUE!</v>
      </c>
      <c r="T181" s="16" t="e">
        <f t="shared" si="85"/>
        <v>#VALUE!</v>
      </c>
      <c r="U181" s="16" t="e">
        <f t="shared" si="85"/>
        <v>#VALUE!</v>
      </c>
      <c r="V181" s="16" t="e">
        <f t="shared" si="85"/>
        <v>#VALUE!</v>
      </c>
      <c r="W181" s="16" t="e">
        <f t="shared" si="85"/>
        <v>#VALUE!</v>
      </c>
      <c r="X181" s="16" t="e">
        <f t="shared" si="85"/>
        <v>#VALUE!</v>
      </c>
      <c r="Y181" s="16" t="e">
        <f t="shared" si="85"/>
        <v>#VALUE!</v>
      </c>
      <c r="Z181" s="16" t="e">
        <f t="shared" si="85"/>
        <v>#VALUE!</v>
      </c>
      <c r="AA181" s="16" t="e">
        <f t="shared" si="85"/>
        <v>#VALUE!</v>
      </c>
      <c r="AB181" s="16" t="e">
        <f t="shared" si="85"/>
        <v>#VALUE!</v>
      </c>
    </row>
    <row r="182" spans="1:28" s="10" customFormat="1" ht="12.75">
      <c r="A182" s="18"/>
      <c r="B182"/>
      <c r="C182" s="16"/>
      <c r="D182" s="16"/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  <c r="AA182" s="16"/>
      <c r="AB182" s="16"/>
    </row>
    <row r="183" spans="1:28" s="10" customFormat="1" ht="12.75">
      <c r="A183" s="17" t="s">
        <v>87</v>
      </c>
      <c r="B183"/>
      <c r="C183" s="16"/>
      <c r="D183" s="16"/>
      <c r="E183" s="16"/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  <c r="AA183" s="16"/>
      <c r="AB183" s="16"/>
    </row>
    <row r="184" spans="1:28" s="10" customFormat="1" ht="12.75">
      <c r="A184" s="18" t="s">
        <v>89</v>
      </c>
      <c r="B184"/>
      <c r="C184" s="11">
        <f aca="true" t="shared" si="86" ref="C184:AB184">IF(($B$154-(C30-1)*$B$157)&lt;0,0,$B$157)</f>
        <v>20262.433936327958</v>
      </c>
      <c r="D184" s="11">
        <f t="shared" si="86"/>
        <v>20262.433936327958</v>
      </c>
      <c r="E184" s="11">
        <f t="shared" si="86"/>
        <v>20262.433936327958</v>
      </c>
      <c r="F184" s="11">
        <f t="shared" si="86"/>
        <v>20262.433936327958</v>
      </c>
      <c r="G184" s="11">
        <f t="shared" si="86"/>
        <v>20262.433936327958</v>
      </c>
      <c r="H184" s="11">
        <f t="shared" si="86"/>
        <v>20262.433936327958</v>
      </c>
      <c r="I184" s="11">
        <f t="shared" si="86"/>
        <v>20262.433936327958</v>
      </c>
      <c r="J184" s="11">
        <f t="shared" si="86"/>
        <v>20262.433936327958</v>
      </c>
      <c r="K184" s="11">
        <f t="shared" si="86"/>
        <v>20262.433936327958</v>
      </c>
      <c r="L184" s="11">
        <f t="shared" si="86"/>
        <v>20262.433936327958</v>
      </c>
      <c r="M184" s="11" t="e">
        <f t="shared" si="86"/>
        <v>#VALUE!</v>
      </c>
      <c r="N184" s="11" t="e">
        <f t="shared" si="86"/>
        <v>#VALUE!</v>
      </c>
      <c r="O184" s="11" t="e">
        <f t="shared" si="86"/>
        <v>#VALUE!</v>
      </c>
      <c r="P184" s="11" t="e">
        <f t="shared" si="86"/>
        <v>#VALUE!</v>
      </c>
      <c r="Q184" s="11" t="e">
        <f t="shared" si="86"/>
        <v>#VALUE!</v>
      </c>
      <c r="R184" s="11" t="e">
        <f t="shared" si="86"/>
        <v>#VALUE!</v>
      </c>
      <c r="S184" s="11" t="e">
        <f t="shared" si="86"/>
        <v>#VALUE!</v>
      </c>
      <c r="T184" s="11" t="e">
        <f t="shared" si="86"/>
        <v>#VALUE!</v>
      </c>
      <c r="U184" s="11" t="e">
        <f t="shared" si="86"/>
        <v>#VALUE!</v>
      </c>
      <c r="V184" s="11" t="e">
        <f t="shared" si="86"/>
        <v>#VALUE!</v>
      </c>
      <c r="W184" s="11" t="e">
        <f t="shared" si="86"/>
        <v>#VALUE!</v>
      </c>
      <c r="X184" s="11" t="e">
        <f t="shared" si="86"/>
        <v>#VALUE!</v>
      </c>
      <c r="Y184" s="11" t="e">
        <f t="shared" si="86"/>
        <v>#VALUE!</v>
      </c>
      <c r="Z184" s="11" t="e">
        <f t="shared" si="86"/>
        <v>#VALUE!</v>
      </c>
      <c r="AA184" s="11" t="e">
        <f t="shared" si="86"/>
        <v>#VALUE!</v>
      </c>
      <c r="AB184" s="11" t="e">
        <f t="shared" si="86"/>
        <v>#VALUE!</v>
      </c>
    </row>
    <row r="185" spans="1:28" s="10" customFormat="1" ht="12.75">
      <c r="A185" s="18" t="s">
        <v>88</v>
      </c>
      <c r="B185"/>
      <c r="C185" s="16">
        <f aca="true" t="shared" si="87" ref="C185:AB185">C184/C178</f>
        <v>0.03672084534003873</v>
      </c>
      <c r="D185" s="16">
        <f t="shared" si="87"/>
        <v>0.03672084534003873</v>
      </c>
      <c r="E185" s="16">
        <f t="shared" si="87"/>
        <v>0.03672084534003873</v>
      </c>
      <c r="F185" s="16">
        <f t="shared" si="87"/>
        <v>0.03672084534003873</v>
      </c>
      <c r="G185" s="16">
        <f t="shared" si="87"/>
        <v>0.03672084534003873</v>
      </c>
      <c r="H185" s="16">
        <f t="shared" si="87"/>
        <v>0.03672084534003873</v>
      </c>
      <c r="I185" s="16">
        <f t="shared" si="87"/>
        <v>0.03672084534003873</v>
      </c>
      <c r="J185" s="16">
        <f t="shared" si="87"/>
        <v>0.03672084534003873</v>
      </c>
      <c r="K185" s="16">
        <f t="shared" si="87"/>
        <v>0.03672084534003873</v>
      </c>
      <c r="L185" s="16">
        <f t="shared" si="87"/>
        <v>0.03672084534003873</v>
      </c>
      <c r="M185" s="16" t="e">
        <f t="shared" si="87"/>
        <v>#VALUE!</v>
      </c>
      <c r="N185" s="16" t="e">
        <f t="shared" si="87"/>
        <v>#VALUE!</v>
      </c>
      <c r="O185" s="16" t="e">
        <f t="shared" si="87"/>
        <v>#VALUE!</v>
      </c>
      <c r="P185" s="16" t="e">
        <f t="shared" si="87"/>
        <v>#VALUE!</v>
      </c>
      <c r="Q185" s="16" t="e">
        <f t="shared" si="87"/>
        <v>#VALUE!</v>
      </c>
      <c r="R185" s="16" t="e">
        <f t="shared" si="87"/>
        <v>#VALUE!</v>
      </c>
      <c r="S185" s="16" t="e">
        <f t="shared" si="87"/>
        <v>#VALUE!</v>
      </c>
      <c r="T185" s="16" t="e">
        <f t="shared" si="87"/>
        <v>#VALUE!</v>
      </c>
      <c r="U185" s="16" t="e">
        <f t="shared" si="87"/>
        <v>#VALUE!</v>
      </c>
      <c r="V185" s="16" t="e">
        <f t="shared" si="87"/>
        <v>#VALUE!</v>
      </c>
      <c r="W185" s="16" t="e">
        <f t="shared" si="87"/>
        <v>#VALUE!</v>
      </c>
      <c r="X185" s="16" t="e">
        <f t="shared" si="87"/>
        <v>#VALUE!</v>
      </c>
      <c r="Y185" s="16" t="e">
        <f t="shared" si="87"/>
        <v>#VALUE!</v>
      </c>
      <c r="Z185" s="16" t="e">
        <f t="shared" si="87"/>
        <v>#VALUE!</v>
      </c>
      <c r="AA185" s="16" t="e">
        <f t="shared" si="87"/>
        <v>#VALUE!</v>
      </c>
      <c r="AB185" s="16" t="e">
        <f t="shared" si="87"/>
        <v>#VALUE!</v>
      </c>
    </row>
    <row r="186" spans="1:28" s="10" customFormat="1" ht="12.75">
      <c r="A186" s="18"/>
      <c r="B186"/>
      <c r="C186" s="16"/>
      <c r="D186" s="16"/>
      <c r="E186" s="16"/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6"/>
      <c r="AA186" s="16"/>
      <c r="AB186" s="16"/>
    </row>
    <row r="187" spans="1:28" s="10" customFormat="1" ht="12.75">
      <c r="A187" s="6" t="s">
        <v>90</v>
      </c>
      <c r="B187"/>
      <c r="C187" s="16"/>
      <c r="D187" s="16"/>
      <c r="E187" s="16"/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  <c r="AA187" s="16"/>
      <c r="AB187" s="16"/>
    </row>
    <row r="188" spans="1:28" s="10" customFormat="1" ht="12.75">
      <c r="A188" s="18" t="s">
        <v>91</v>
      </c>
      <c r="B188"/>
      <c r="C188" s="16">
        <f>C181-C185</f>
        <v>-0.3200602945053594</v>
      </c>
      <c r="D188" s="16">
        <f aca="true" t="shared" si="88" ref="D188:AB188">D181-D185</f>
        <v>-0.15524839695583</v>
      </c>
      <c r="E188" s="16">
        <f t="shared" si="88"/>
        <v>0.040567226434005364</v>
      </c>
      <c r="F188" s="16">
        <f t="shared" si="88"/>
        <v>0.5880049503899412</v>
      </c>
      <c r="G188" s="16">
        <f t="shared" si="88"/>
        <v>0.8776410403176305</v>
      </c>
      <c r="H188" s="16">
        <f t="shared" si="88"/>
        <v>1.2640317651357682</v>
      </c>
      <c r="I188" s="16">
        <f t="shared" si="88"/>
        <v>1.4199644397027225</v>
      </c>
      <c r="J188" s="16">
        <f t="shared" si="88"/>
        <v>1.4697503533662593</v>
      </c>
      <c r="K188" s="16">
        <f t="shared" si="88"/>
        <v>1.5091956979212346</v>
      </c>
      <c r="L188" s="16">
        <f t="shared" si="88"/>
        <v>1.5952946066660847</v>
      </c>
      <c r="M188" s="16" t="e">
        <f t="shared" si="88"/>
        <v>#VALUE!</v>
      </c>
      <c r="N188" s="16" t="e">
        <f t="shared" si="88"/>
        <v>#VALUE!</v>
      </c>
      <c r="O188" s="16" t="e">
        <f t="shared" si="88"/>
        <v>#VALUE!</v>
      </c>
      <c r="P188" s="16" t="e">
        <f t="shared" si="88"/>
        <v>#VALUE!</v>
      </c>
      <c r="Q188" s="16" t="e">
        <f t="shared" si="88"/>
        <v>#VALUE!</v>
      </c>
      <c r="R188" s="16" t="e">
        <f t="shared" si="88"/>
        <v>#VALUE!</v>
      </c>
      <c r="S188" s="16" t="e">
        <f t="shared" si="88"/>
        <v>#VALUE!</v>
      </c>
      <c r="T188" s="16" t="e">
        <f t="shared" si="88"/>
        <v>#VALUE!</v>
      </c>
      <c r="U188" s="16" t="e">
        <f t="shared" si="88"/>
        <v>#VALUE!</v>
      </c>
      <c r="V188" s="16" t="e">
        <f t="shared" si="88"/>
        <v>#VALUE!</v>
      </c>
      <c r="W188" s="16" t="e">
        <f t="shared" si="88"/>
        <v>#VALUE!</v>
      </c>
      <c r="X188" s="16" t="e">
        <f t="shared" si="88"/>
        <v>#VALUE!</v>
      </c>
      <c r="Y188" s="16" t="e">
        <f t="shared" si="88"/>
        <v>#VALUE!</v>
      </c>
      <c r="Z188" s="16" t="e">
        <f t="shared" si="88"/>
        <v>#VALUE!</v>
      </c>
      <c r="AA188" s="16" t="e">
        <f t="shared" si="88"/>
        <v>#VALUE!</v>
      </c>
      <c r="AB188" s="16" t="e">
        <f t="shared" si="88"/>
        <v>#VALUE!</v>
      </c>
    </row>
    <row r="190" spans="1:28" s="10" customFormat="1" ht="12.75">
      <c r="A190" s="17" t="s">
        <v>92</v>
      </c>
      <c r="B190"/>
      <c r="C190" s="16"/>
      <c r="D190" s="16"/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/>
      <c r="AA190" s="16"/>
      <c r="AB190" s="16"/>
    </row>
    <row r="191" spans="1:28" ht="12.75">
      <c r="A191" s="18" t="s">
        <v>93</v>
      </c>
      <c r="C191" s="16">
        <f aca="true" t="shared" si="89" ref="C191:AB191">C67/C178</f>
        <v>0.06524144317486488</v>
      </c>
      <c r="D191" s="16">
        <f t="shared" si="89"/>
        <v>0.06524144317486488</v>
      </c>
      <c r="E191" s="16">
        <f t="shared" si="89"/>
        <v>0.06524144317486488</v>
      </c>
      <c r="F191" s="16">
        <f t="shared" si="89"/>
        <v>0.06524144317486488</v>
      </c>
      <c r="G191" s="16">
        <f t="shared" si="89"/>
        <v>0.06524144317486488</v>
      </c>
      <c r="H191" s="16">
        <f t="shared" si="89"/>
        <v>0.008357785122875662</v>
      </c>
      <c r="I191" s="16">
        <f t="shared" si="89"/>
        <v>0.008357785122875662</v>
      </c>
      <c r="J191" s="16">
        <f t="shared" si="89"/>
        <v>0.008357785122875662</v>
      </c>
      <c r="K191" s="16">
        <f t="shared" si="89"/>
        <v>0.008357785122875662</v>
      </c>
      <c r="L191" s="16">
        <f t="shared" si="89"/>
        <v>0.008357785122875662</v>
      </c>
      <c r="M191" s="16" t="e">
        <f t="shared" si="89"/>
        <v>#VALUE!</v>
      </c>
      <c r="N191" s="16" t="e">
        <f t="shared" si="89"/>
        <v>#VALUE!</v>
      </c>
      <c r="O191" s="16" t="e">
        <f t="shared" si="89"/>
        <v>#VALUE!</v>
      </c>
      <c r="P191" s="16" t="e">
        <f t="shared" si="89"/>
        <v>#VALUE!</v>
      </c>
      <c r="Q191" s="16" t="e">
        <f t="shared" si="89"/>
        <v>#VALUE!</v>
      </c>
      <c r="R191" s="16" t="e">
        <f t="shared" si="89"/>
        <v>#VALUE!</v>
      </c>
      <c r="S191" s="16" t="e">
        <f t="shared" si="89"/>
        <v>#VALUE!</v>
      </c>
      <c r="T191" s="16" t="e">
        <f t="shared" si="89"/>
        <v>#VALUE!</v>
      </c>
      <c r="U191" s="16" t="e">
        <f t="shared" si="89"/>
        <v>#VALUE!</v>
      </c>
      <c r="V191" s="16" t="e">
        <f t="shared" si="89"/>
        <v>#VALUE!</v>
      </c>
      <c r="W191" s="16" t="e">
        <f t="shared" si="89"/>
        <v>#VALUE!</v>
      </c>
      <c r="X191" s="16" t="e">
        <f t="shared" si="89"/>
        <v>#VALUE!</v>
      </c>
      <c r="Y191" s="16" t="e">
        <f t="shared" si="89"/>
        <v>#VALUE!</v>
      </c>
      <c r="Z191" s="16" t="e">
        <f t="shared" si="89"/>
        <v>#VALUE!</v>
      </c>
      <c r="AA191" s="16" t="e">
        <f t="shared" si="89"/>
        <v>#VALUE!</v>
      </c>
      <c r="AB191" s="16" t="e">
        <f t="shared" si="89"/>
        <v>#VALUE!</v>
      </c>
    </row>
    <row r="192" spans="1:28" ht="12.75">
      <c r="A192" s="18"/>
      <c r="C192" s="16"/>
      <c r="D192" s="16"/>
      <c r="E192" s="16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  <c r="AA192" s="16"/>
      <c r="AB192" s="16"/>
    </row>
    <row r="193" spans="1:28" ht="12.75">
      <c r="A193" s="17" t="s">
        <v>133</v>
      </c>
      <c r="C193" s="16"/>
      <c r="D193" s="16"/>
      <c r="E193" s="16"/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16"/>
      <c r="AA193" s="16"/>
      <c r="AB193" s="16"/>
    </row>
    <row r="194" spans="1:28" ht="12.75">
      <c r="A194" s="18" t="s">
        <v>130</v>
      </c>
      <c r="C194" s="16">
        <f>B152/C178</f>
        <v>0.6352438208459253</v>
      </c>
      <c r="D194" s="16"/>
      <c r="E194" s="16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  <c r="AA194" s="16"/>
      <c r="AB194" s="16"/>
    </row>
    <row r="196" ht="12.75">
      <c r="A196" s="17" t="s">
        <v>134</v>
      </c>
    </row>
    <row r="197" spans="1:3" ht="12.75">
      <c r="A197" t="s">
        <v>131</v>
      </c>
      <c r="C197" s="16">
        <f>B153/C178</f>
        <v>0.2680353674455381</v>
      </c>
    </row>
    <row r="198" spans="1:3" ht="12.75">
      <c r="A198" t="s">
        <v>132</v>
      </c>
      <c r="C198" s="16">
        <f>B154/C178</f>
        <v>0.36720845340038727</v>
      </c>
    </row>
    <row r="200" ht="12.75">
      <c r="A200" s="6" t="s">
        <v>97</v>
      </c>
    </row>
    <row r="201" spans="1:28" s="10" customFormat="1" ht="12.75">
      <c r="A201" t="s">
        <v>96</v>
      </c>
      <c r="B201"/>
      <c r="C201" s="16">
        <f>C188+C191-C194+C197+C198</f>
        <v>-0.2548188513304945</v>
      </c>
      <c r="D201" s="16">
        <f aca="true" t="shared" si="90" ref="D201:AB201">D188+D191-D194+D197+D198</f>
        <v>-0.09000695378096513</v>
      </c>
      <c r="E201" s="16">
        <f t="shared" si="90"/>
        <v>0.10580866960887025</v>
      </c>
      <c r="F201" s="16">
        <f t="shared" si="90"/>
        <v>0.6532463935648061</v>
      </c>
      <c r="G201" s="16">
        <f t="shared" si="90"/>
        <v>0.9428824834924954</v>
      </c>
      <c r="H201" s="16">
        <f t="shared" si="90"/>
        <v>1.272389550258644</v>
      </c>
      <c r="I201" s="16">
        <f t="shared" si="90"/>
        <v>1.4283222248255982</v>
      </c>
      <c r="J201" s="16">
        <f t="shared" si="90"/>
        <v>1.478108138489135</v>
      </c>
      <c r="K201" s="16">
        <f t="shared" si="90"/>
        <v>1.5175534830441104</v>
      </c>
      <c r="L201" s="16">
        <f t="shared" si="90"/>
        <v>1.6036523917889605</v>
      </c>
      <c r="M201" s="16" t="e">
        <f t="shared" si="90"/>
        <v>#VALUE!</v>
      </c>
      <c r="N201" s="16" t="e">
        <f t="shared" si="90"/>
        <v>#VALUE!</v>
      </c>
      <c r="O201" s="16" t="e">
        <f t="shared" si="90"/>
        <v>#VALUE!</v>
      </c>
      <c r="P201" s="16" t="e">
        <f t="shared" si="90"/>
        <v>#VALUE!</v>
      </c>
      <c r="Q201" s="16" t="e">
        <f t="shared" si="90"/>
        <v>#VALUE!</v>
      </c>
      <c r="R201" s="16" t="e">
        <f t="shared" si="90"/>
        <v>#VALUE!</v>
      </c>
      <c r="S201" s="16" t="e">
        <f t="shared" si="90"/>
        <v>#VALUE!</v>
      </c>
      <c r="T201" s="16" t="e">
        <f t="shared" si="90"/>
        <v>#VALUE!</v>
      </c>
      <c r="U201" s="16" t="e">
        <f t="shared" si="90"/>
        <v>#VALUE!</v>
      </c>
      <c r="V201" s="16" t="e">
        <f t="shared" si="90"/>
        <v>#VALUE!</v>
      </c>
      <c r="W201" s="16" t="e">
        <f t="shared" si="90"/>
        <v>#VALUE!</v>
      </c>
      <c r="X201" s="16" t="e">
        <f t="shared" si="90"/>
        <v>#VALUE!</v>
      </c>
      <c r="Y201" s="16" t="e">
        <f t="shared" si="90"/>
        <v>#VALUE!</v>
      </c>
      <c r="Z201" s="16" t="e">
        <f t="shared" si="90"/>
        <v>#VALUE!</v>
      </c>
      <c r="AA201" s="16" t="e">
        <f t="shared" si="90"/>
        <v>#VALUE!</v>
      </c>
      <c r="AB201" s="16" t="e">
        <f t="shared" si="90"/>
        <v>#VALUE!</v>
      </c>
    </row>
    <row r="202" spans="2:28" s="10" customFormat="1" ht="13.5" thickBot="1">
      <c r="B202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</row>
    <row r="203" spans="1:28" s="10" customFormat="1" ht="14.25" thickBot="1" thickTop="1">
      <c r="A203" s="17" t="s">
        <v>110</v>
      </c>
      <c r="B203" s="37" t="s">
        <v>128</v>
      </c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</row>
    <row r="204" spans="1:28" s="10" customFormat="1" ht="13.5" thickTop="1">
      <c r="A204" s="10" t="s">
        <v>111</v>
      </c>
      <c r="B204" s="36">
        <v>1</v>
      </c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</row>
    <row r="205" spans="1:28" s="10" customFormat="1" ht="12.75">
      <c r="A205" s="18" t="s">
        <v>98</v>
      </c>
      <c r="B205" s="34">
        <f ca="1">B204*NPV($B$149,C201:OFFSET(C201,0,$B$8-1,1,1))</f>
        <v>2.6227309778407095</v>
      </c>
      <c r="C205" s="4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</row>
    <row r="206" spans="1:28" s="10" customFormat="1" ht="13.5" thickBot="1">
      <c r="A206" t="s">
        <v>99</v>
      </c>
      <c r="B206" s="35">
        <f>B204*(1/(1+$B$149)^$B$8)*(INDEX(C201:AB201,1,$B$8)/$B$149)</f>
        <v>1.90541353310535</v>
      </c>
      <c r="C206" s="41"/>
      <c r="D206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</row>
    <row r="207" spans="1:28" s="10" customFormat="1" ht="17.25" thickBot="1" thickTop="1">
      <c r="A207" s="42" t="s">
        <v>100</v>
      </c>
      <c r="B207" s="43">
        <f>B205+B206</f>
        <v>4.52814451094606</v>
      </c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</row>
    <row r="208" spans="2:4" ht="13.5" thickTop="1">
      <c r="B208" s="10"/>
      <c r="C208" s="11"/>
      <c r="D208" s="39"/>
    </row>
    <row r="209" spans="1:2" ht="15.75">
      <c r="A209" s="31" t="s">
        <v>101</v>
      </c>
      <c r="B209" s="44" t="s">
        <v>127</v>
      </c>
    </row>
    <row r="211" ht="12.75">
      <c r="A211" t="s">
        <v>139</v>
      </c>
    </row>
    <row r="212" ht="12.75">
      <c r="A212" s="11" t="s">
        <v>138</v>
      </c>
    </row>
    <row r="213" ht="12.75">
      <c r="A213" s="9"/>
    </row>
  </sheetData>
  <printOptions/>
  <pageMargins left="0.75" right="0.75" top="1" bottom="1" header="0.5" footer="0.5"/>
  <pageSetup horizontalDpi="200" verticalDpi="200" orientation="landscape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Christopher Gardner</dc:creator>
  <cp:keywords/>
  <dc:description/>
  <cp:lastModifiedBy>Christopher Gardner</cp:lastModifiedBy>
  <cp:lastPrinted>1998-04-07T17:12:19Z</cp:lastPrinted>
  <dcterms:created xsi:type="dcterms:W3CDTF">1998-03-10T04:18:14Z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