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35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<sst xmlns="http://schemas.openxmlformats.org/spreadsheetml/2006/main" count="123" uniqueCount="115">
  <si>
    <t>Year</t>
  </si>
  <si>
    <t>Number of Years to Peak Penetration</t>
  </si>
  <si>
    <t>Number of Households</t>
  </si>
  <si>
    <t>Peak Penetration of Cable Modem Service (%Cable Subs)</t>
  </si>
  <si>
    <t>Cable Subscriber Penetration</t>
  </si>
  <si>
    <t>Cable Modem Penetration of Cable Subscribers</t>
  </si>
  <si>
    <t>REVENUES</t>
  </si>
  <si>
    <t>Cable Modem Service Monthly Charge per User</t>
  </si>
  <si>
    <t>Subscription Fees</t>
  </si>
  <si>
    <t>Installation Charge</t>
  </si>
  <si>
    <t>Cable Modem Price per Unit</t>
  </si>
  <si>
    <t>Ethernet Connection Price per Unit</t>
  </si>
  <si>
    <t>Economic Life (Years)</t>
  </si>
  <si>
    <t>Tax Rate</t>
  </si>
  <si>
    <t>Inflation Rate</t>
  </si>
  <si>
    <t>Total Revenues</t>
  </si>
  <si>
    <t>COSTS</t>
  </si>
  <si>
    <t>Investment Costs:</t>
  </si>
  <si>
    <t>Headend Router Package</t>
  </si>
  <si>
    <t>Number of Cable Modem Subscribers per 6MHz Channel</t>
  </si>
  <si>
    <t>Annual Equipment Price or Cost Variation (% of Previous Year)</t>
  </si>
  <si>
    <t>Local Content Server</t>
  </si>
  <si>
    <t>Cable Network Manager</t>
  </si>
  <si>
    <t>Router for T3 Line</t>
  </si>
  <si>
    <t>Installation for T3 Line</t>
  </si>
  <si>
    <t>Cable Modem Hookup and Installation</t>
  </si>
  <si>
    <t>Items Not Subject to Replacement</t>
  </si>
  <si>
    <t>Subtotal</t>
  </si>
  <si>
    <t>Equipment Replacement</t>
  </si>
  <si>
    <t>Other</t>
  </si>
  <si>
    <t>Working Capital</t>
  </si>
  <si>
    <t>Working Capital (% of Annual Revenue)</t>
  </si>
  <si>
    <t>Operating Costs:</t>
  </si>
  <si>
    <t>Replacement Cable Modems</t>
  </si>
  <si>
    <t>Replacement Ethernet Connections</t>
  </si>
  <si>
    <t>Replacement Installation Charges</t>
  </si>
  <si>
    <t>Cable Modems</t>
  </si>
  <si>
    <t>Ethernet Connections</t>
  </si>
  <si>
    <t>Installation Charges</t>
  </si>
  <si>
    <t>Internet, Bank, PC Telephone Network Connection</t>
  </si>
  <si>
    <t>Cable Modem Service Calls</t>
  </si>
  <si>
    <t>Cable Modem Marketing and Sales</t>
  </si>
  <si>
    <t>Cable Modem Billing</t>
  </si>
  <si>
    <t>Cable Modem Telephone Support</t>
  </si>
  <si>
    <t>Cable Modem Equipment Maintenance and Software Licensing Fees</t>
  </si>
  <si>
    <t>Depreciation:</t>
  </si>
  <si>
    <t>Markup</t>
  </si>
  <si>
    <t>Cable Modem Hookup and Installation (i.e., churn-related)</t>
  </si>
  <si>
    <t>Equipment Depreciation (straight line, no salvage value)</t>
  </si>
  <si>
    <t>Earnings Before Interest and Taxes</t>
  </si>
  <si>
    <t>Earnings Before Interest and Taxes:</t>
  </si>
  <si>
    <t>Total Operating Costs</t>
  </si>
  <si>
    <t>Taxes:</t>
  </si>
  <si>
    <t>Taxes</t>
  </si>
  <si>
    <t>Net Taxes</t>
  </si>
  <si>
    <t>Amount of Tax Loss Carry Forward Applied Against Current Taxes</t>
  </si>
  <si>
    <t>Cumulative Tax Loss Carry Forward (Beginning of Year)</t>
  </si>
  <si>
    <t>Cumulative Tax Loss Carry Forward (End of Year)</t>
  </si>
  <si>
    <t>Earnings Before Interest but After Taxes:</t>
  </si>
  <si>
    <t>Earnings Before Interest but After Taxes</t>
  </si>
  <si>
    <t>Gross Cash Flow</t>
  </si>
  <si>
    <t>Gross Cash Flow:</t>
  </si>
  <si>
    <t>Total Investment Costs</t>
  </si>
  <si>
    <t>Demand Curve: Parameter a</t>
  </si>
  <si>
    <t>Demand Curve: Parameter b</t>
  </si>
  <si>
    <t>Demand Curve (Cumulative %)</t>
  </si>
  <si>
    <t>CASH FLOW FROM OPERATIONS</t>
  </si>
  <si>
    <t>Cost of Equity</t>
  </si>
  <si>
    <t>Inputs:</t>
  </si>
  <si>
    <t>Derived  Numbers:</t>
  </si>
  <si>
    <t>Debt/Equity Ratio*</t>
  </si>
  <si>
    <t>Beta*</t>
  </si>
  <si>
    <t>Cost of Debt (pre-Tax)*</t>
  </si>
  <si>
    <t>SINGLE SYSTEM OPERATION</t>
  </si>
  <si>
    <t>Percent of Systems Upgraded to Cable Modem Service</t>
  </si>
  <si>
    <t>Project Risk Premium</t>
  </si>
  <si>
    <t>Model is restricted to a maximum 25 years of detailed cash flows</t>
  </si>
  <si>
    <t>same as above</t>
  </si>
  <si>
    <t>Cable Modem Penetration of Households</t>
  </si>
  <si>
    <t>Begin # of Cable Modem Subscribers</t>
  </si>
  <si>
    <t>End # of Cable Modem Subscribers</t>
  </si>
  <si>
    <t>Avg # of Cable Modem Subscribers</t>
  </si>
  <si>
    <t># of Incremental Channels Needed</t>
  </si>
  <si>
    <t>Weighted Average Cost of Capital (after-Tax)</t>
  </si>
  <si>
    <t>Risk-Adjusted Cost of Equity</t>
  </si>
  <si>
    <t>Risk-Adjusted Weighted Average Cost of Capital (after-Tax)</t>
  </si>
  <si>
    <t>CHECK</t>
  </si>
  <si>
    <t>Continuing Value of Cash Flow From Operations</t>
  </si>
  <si>
    <t>Total Value</t>
  </si>
  <si>
    <t>Present Value of Cash Flow From Operations</t>
  </si>
  <si>
    <t>Percent Difference in Valuations</t>
  </si>
  <si>
    <t>Cost per @Home Share</t>
  </si>
  <si>
    <t>Value per Warrant</t>
  </si>
  <si>
    <t>Total Number of Subscribers Served By Company</t>
  </si>
  <si>
    <t>CHANGE IN VALUE OF OPERATIONS</t>
  </si>
  <si>
    <t>VALUE OF COMPENSATING PAYMENT</t>
  </si>
  <si>
    <r>
      <t xml:space="preserve">Value per Cable Subscriber </t>
    </r>
    <r>
      <rPr>
        <b/>
        <i/>
        <sz val="10"/>
        <rFont val="Arial"/>
        <family val="2"/>
      </rPr>
      <t>Before</t>
    </r>
    <r>
      <rPr>
        <sz val="10"/>
        <rFont val="Arial"/>
        <family val="2"/>
      </rPr>
      <t xml:space="preserve"> Deal</t>
    </r>
  </si>
  <si>
    <t xml:space="preserve">Number of @Home Warrants per Cable Household Passed </t>
  </si>
  <si>
    <t>Value to Time-Warner:</t>
  </si>
  <si>
    <t>Model is restricted to one economic life and &lt; 6 generations of replacements</t>
  </si>
  <si>
    <t>Valuation of Proposed @Home Deal With Time Warner</t>
  </si>
  <si>
    <t>*   Value Line (figures as of 9/30/97)</t>
  </si>
  <si>
    <t>MULTIPLE SYSTEM OPERATION AND FINANCING BEFORE AND AFTER DEAL</t>
  </si>
  <si>
    <t>(@Home receives 35% of the Cable Modem Service Monthly Charge per User from Time-Warner)</t>
  </si>
  <si>
    <r>
      <t xml:space="preserve">Value per Cable Subscriber </t>
    </r>
    <r>
      <rPr>
        <b/>
        <i/>
        <sz val="10"/>
        <rFont val="Arial"/>
        <family val="2"/>
      </rPr>
      <t>After</t>
    </r>
    <r>
      <rPr>
        <sz val="10"/>
        <rFont val="Arial"/>
        <family val="2"/>
      </rPr>
      <t xml:space="preserve"> Deal***</t>
    </r>
  </si>
  <si>
    <t>**Stocks, Bonds, Bills, and Inflation 1997 Yearbook</t>
  </si>
  <si>
    <r>
      <t>****</t>
    </r>
    <r>
      <rPr>
        <sz val="10"/>
        <rFont val="Arial"/>
        <family val="2"/>
      </rPr>
      <t>The story describing the deal broke on 2/23/98 in</t>
    </r>
    <r>
      <rPr>
        <i/>
        <sz val="10"/>
        <rFont val="Arial"/>
        <family val="2"/>
      </rPr>
      <t xml:space="preserve"> Broadcasting and Cable </t>
    </r>
  </si>
  <si>
    <t>Price of @Home Shares at End of Day 2/23/98****</t>
  </si>
  <si>
    <t>Average Return on Large Company Stocks (1926-1996)**</t>
  </si>
  <si>
    <t>Risk Free Rate of Return (US Treasury 20 Year Bond Yeild 1926-1996)**</t>
  </si>
  <si>
    <t>Change in Cable Modem System Value to Time-Warner per Cable Subscriber</t>
  </si>
  <si>
    <t>Value of @Home Warrants to Time-Warner per Cable Subscriber</t>
  </si>
  <si>
    <t>GRANT OF @HOME WARRANTS</t>
  </si>
  <si>
    <t xml:space="preserve">(Time-Warner is granted 2 warrants in @Home per cable household passed where each warrant </t>
  </si>
  <si>
    <t>is a right to buy 1 share of @Home stock for 50 cents)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</si>
</sst>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000%"/>
    <numFmt numFmtId="166" formatCode="&quot;$&quot;#,##0"/>
    <numFmt numFmtId="167" formatCode="&quot;$&quot;#,##0.00"/>
    <numFmt numFmtId="168" formatCode="&quot;$&quot;#,##0.0"/>
    <numFmt numFmtId="169" formatCode="0.0"/>
    <numFmt numFmtId="170" formatCode="#,##0.000"/>
    <numFmt numFmtId="171" formatCode="0.000000000000000%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6" fontId="4" fillId="0" borderId="0" xfId="0" applyNumberFormat="1" applyFont="1" applyAlignment="1">
      <alignment/>
    </xf>
    <xf numFmtId="166" fontId="0" fillId="0" borderId="2" xfId="0" applyNumberFormat="1" applyFont="1" applyBorder="1" applyAlignment="1">
      <alignment/>
    </xf>
    <xf numFmtId="6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166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8" fontId="0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6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7"/>
  <sheetViews>
    <sheetView tabSelected="1" workbookViewId="0" topLeftCell="A153">
      <selection activeCell="C156" sqref="C156"/>
    </sheetView>
  </sheetViews>
  <sheetFormatPr defaultColWidth="9.140625" defaultRowHeight="12.75"/>
  <cols>
    <col min="1" max="1" width="83.7109375" style="0" customWidth="1"/>
    <col min="2" max="2" width="16.57421875" style="0" bestFit="1" customWidth="1"/>
    <col min="3" max="28" width="15.7109375" style="0" customWidth="1"/>
  </cols>
  <sheetData>
    <row r="1" s="30" customFormat="1" ht="18">
      <c r="A1" s="32" t="s">
        <v>86</v>
      </c>
    </row>
    <row r="2" ht="18.75">
      <c r="A2" s="47" t="s">
        <v>100</v>
      </c>
    </row>
    <row r="3" ht="12.75">
      <c r="A3" s="17"/>
    </row>
    <row r="4" spans="1:2" ht="12.75">
      <c r="A4" s="17" t="s">
        <v>73</v>
      </c>
      <c r="B4" t="s">
        <v>76</v>
      </c>
    </row>
    <row r="5" spans="1:2" ht="12.75">
      <c r="A5" t="s">
        <v>2</v>
      </c>
      <c r="B5" s="5">
        <v>25600</v>
      </c>
    </row>
    <row r="6" spans="1:3" ht="12.75">
      <c r="A6" t="s">
        <v>4</v>
      </c>
      <c r="B6" s="1">
        <v>0.6</v>
      </c>
      <c r="C6" s="1"/>
    </row>
    <row r="7" spans="1:3" ht="12.75">
      <c r="A7" t="s">
        <v>3</v>
      </c>
      <c r="B7" s="1">
        <v>0.3</v>
      </c>
      <c r="C7" s="1"/>
    </row>
    <row r="8" spans="1:2" ht="12.75">
      <c r="A8" t="s">
        <v>1</v>
      </c>
      <c r="B8">
        <v>10</v>
      </c>
    </row>
    <row r="9" spans="1:3" ht="12.75">
      <c r="A9" t="s">
        <v>63</v>
      </c>
      <c r="B9">
        <v>1.2</v>
      </c>
      <c r="C9" t="str">
        <f>CONCATENATE("you want at+b, where t=0 to ",$B$8," years, to fall in the range {-10,10}")</f>
        <v>you want at+b, where t=0 to 10 years, to fall in the range {-10,10}</v>
      </c>
    </row>
    <row r="10" spans="1:3" ht="12" customHeight="1">
      <c r="A10" t="s">
        <v>64</v>
      </c>
      <c r="B10">
        <v>-4</v>
      </c>
      <c r="C10" t="s">
        <v>77</v>
      </c>
    </row>
    <row r="11" spans="1:2" ht="12.75" customHeight="1">
      <c r="A11" t="s">
        <v>7</v>
      </c>
      <c r="B11" s="4">
        <f>30</f>
        <v>30</v>
      </c>
    </row>
    <row r="12" spans="1:2" ht="12.75" customHeight="1">
      <c r="A12" t="s">
        <v>10</v>
      </c>
      <c r="B12" s="4">
        <v>200</v>
      </c>
    </row>
    <row r="13" spans="1:2" ht="12.75">
      <c r="A13" t="s">
        <v>11</v>
      </c>
      <c r="B13" s="4">
        <v>100</v>
      </c>
    </row>
    <row r="14" spans="1:2" ht="12.75">
      <c r="A14" t="s">
        <v>9</v>
      </c>
      <c r="B14" s="4">
        <v>50</v>
      </c>
    </row>
    <row r="15" spans="1:2" ht="12.75">
      <c r="A15" t="s">
        <v>14</v>
      </c>
      <c r="B15" s="1">
        <v>0.02</v>
      </c>
    </row>
    <row r="16" spans="1:2" ht="12.75">
      <c r="A16" t="s">
        <v>13</v>
      </c>
      <c r="B16" s="1">
        <v>0.4</v>
      </c>
    </row>
    <row r="17" spans="1:3" ht="12.75">
      <c r="A17" t="s">
        <v>12</v>
      </c>
      <c r="B17" s="5">
        <v>5</v>
      </c>
      <c r="C17" t="s">
        <v>99</v>
      </c>
    </row>
    <row r="18" spans="1:2" ht="12.75">
      <c r="A18" t="s">
        <v>19</v>
      </c>
      <c r="B18" s="5">
        <v>5000</v>
      </c>
    </row>
    <row r="19" spans="1:2" ht="12.75">
      <c r="A19" t="s">
        <v>20</v>
      </c>
      <c r="B19" s="1">
        <v>0.65</v>
      </c>
    </row>
    <row r="20" spans="1:2" ht="12.75">
      <c r="A20" t="s">
        <v>31</v>
      </c>
      <c r="B20" s="1">
        <v>0.1</v>
      </c>
    </row>
    <row r="21" spans="1:2" s="6" customFormat="1" ht="12.75">
      <c r="A21" s="18" t="s">
        <v>46</v>
      </c>
      <c r="B21" s="19">
        <v>0.33</v>
      </c>
    </row>
    <row r="22" spans="1:2" s="6" customFormat="1" ht="12.75">
      <c r="A22" s="18"/>
      <c r="B22" s="19"/>
    </row>
    <row r="23" spans="1:3" s="6" customFormat="1" ht="12.75">
      <c r="A23" s="18"/>
      <c r="B23" s="19"/>
      <c r="C23" s="6" t="s">
        <v>0</v>
      </c>
    </row>
    <row r="24" spans="3:28" s="23" customFormat="1" ht="13.5" thickBot="1">
      <c r="C24" s="23">
        <v>1</v>
      </c>
      <c r="D24" s="23">
        <f>IF($B$8-C24&gt;0,C24+1,"")</f>
        <v>2</v>
      </c>
      <c r="E24" s="23">
        <f aca="true" t="shared" si="0" ref="E24:AB24">IF($B$8-D24&gt;0,D24+1,"")</f>
        <v>3</v>
      </c>
      <c r="F24" s="23">
        <f t="shared" si="0"/>
        <v>4</v>
      </c>
      <c r="G24" s="23">
        <f t="shared" si="0"/>
        <v>5</v>
      </c>
      <c r="H24" s="23">
        <f t="shared" si="0"/>
        <v>6</v>
      </c>
      <c r="I24" s="23">
        <f t="shared" si="0"/>
        <v>7</v>
      </c>
      <c r="J24" s="23">
        <f t="shared" si="0"/>
        <v>8</v>
      </c>
      <c r="K24" s="23">
        <f t="shared" si="0"/>
        <v>9</v>
      </c>
      <c r="L24" s="23">
        <f t="shared" si="0"/>
        <v>10</v>
      </c>
      <c r="M24" s="23">
        <f t="shared" si="0"/>
      </c>
      <c r="N24" s="23" t="e">
        <f t="shared" si="0"/>
        <v>#VALUE!</v>
      </c>
      <c r="O24" s="23" t="e">
        <f t="shared" si="0"/>
        <v>#VALUE!</v>
      </c>
      <c r="P24" s="23" t="e">
        <f t="shared" si="0"/>
        <v>#VALUE!</v>
      </c>
      <c r="Q24" s="23" t="e">
        <f t="shared" si="0"/>
        <v>#VALUE!</v>
      </c>
      <c r="R24" s="23" t="e">
        <f t="shared" si="0"/>
        <v>#VALUE!</v>
      </c>
      <c r="S24" s="23" t="e">
        <f t="shared" si="0"/>
        <v>#VALUE!</v>
      </c>
      <c r="T24" s="23" t="e">
        <f t="shared" si="0"/>
        <v>#VALUE!</v>
      </c>
      <c r="U24" s="23" t="e">
        <f t="shared" si="0"/>
        <v>#VALUE!</v>
      </c>
      <c r="V24" s="23" t="e">
        <f t="shared" si="0"/>
        <v>#VALUE!</v>
      </c>
      <c r="W24" s="23" t="e">
        <f t="shared" si="0"/>
        <v>#VALUE!</v>
      </c>
      <c r="X24" s="23" t="e">
        <f t="shared" si="0"/>
        <v>#VALUE!</v>
      </c>
      <c r="Y24" s="23" t="e">
        <f t="shared" si="0"/>
        <v>#VALUE!</v>
      </c>
      <c r="Z24" s="23" t="e">
        <f t="shared" si="0"/>
        <v>#VALUE!</v>
      </c>
      <c r="AA24" s="23" t="e">
        <f t="shared" si="0"/>
        <v>#VALUE!</v>
      </c>
      <c r="AB24" s="23" t="e">
        <f t="shared" si="0"/>
        <v>#VALUE!</v>
      </c>
    </row>
    <row r="25" spans="1:28" ht="13.5" thickTop="1">
      <c r="A25" t="s">
        <v>65</v>
      </c>
      <c r="C25" s="2">
        <f aca="true" t="shared" si="1" ref="C25:AB25">((EXP(1)^($B$8*$B$9)+EXP(1)^-$B$10)*(-1+EXP(1)^($B$9*C24)))/((-1+EXP(1)^($B$8*$B$9))*(EXP(1)^-$B$10+EXP(1)^($B$9*C24)))</f>
        <v>0.04007215024553885</v>
      </c>
      <c r="D25" s="2">
        <f t="shared" si="1"/>
        <v>0.15279484483547015</v>
      </c>
      <c r="E25" s="2">
        <f t="shared" si="1"/>
        <v>0.3904803389199405</v>
      </c>
      <c r="F25" s="2">
        <f t="shared" si="1"/>
        <v>0.6845299273648912</v>
      </c>
      <c r="G25" s="2">
        <f t="shared" si="1"/>
        <v>0.8789139426319085</v>
      </c>
      <c r="H25" s="2">
        <f t="shared" si="1"/>
        <v>0.960444916494286</v>
      </c>
      <c r="I25" s="2">
        <f t="shared" si="1"/>
        <v>0.9879868148526113</v>
      </c>
      <c r="J25" s="2">
        <f t="shared" si="1"/>
        <v>0.9965886082113761</v>
      </c>
      <c r="K25" s="2">
        <f t="shared" si="1"/>
        <v>0.999208309084931</v>
      </c>
      <c r="L25" s="2">
        <f t="shared" si="1"/>
        <v>1</v>
      </c>
      <c r="M25" s="2" t="e">
        <f t="shared" si="1"/>
        <v>#VALUE!</v>
      </c>
      <c r="N25" s="2" t="e">
        <f t="shared" si="1"/>
        <v>#VALUE!</v>
      </c>
      <c r="O25" s="2" t="e">
        <f t="shared" si="1"/>
        <v>#VALUE!</v>
      </c>
      <c r="P25" s="2" t="e">
        <f t="shared" si="1"/>
        <v>#VALUE!</v>
      </c>
      <c r="Q25" s="2" t="e">
        <f t="shared" si="1"/>
        <v>#VALUE!</v>
      </c>
      <c r="R25" s="2" t="e">
        <f t="shared" si="1"/>
        <v>#VALUE!</v>
      </c>
      <c r="S25" s="2" t="e">
        <f t="shared" si="1"/>
        <v>#VALUE!</v>
      </c>
      <c r="T25" s="2" t="e">
        <f t="shared" si="1"/>
        <v>#VALUE!</v>
      </c>
      <c r="U25" s="2" t="e">
        <f t="shared" si="1"/>
        <v>#VALUE!</v>
      </c>
      <c r="V25" s="2" t="e">
        <f t="shared" si="1"/>
        <v>#VALUE!</v>
      </c>
      <c r="W25" s="2" t="e">
        <f t="shared" si="1"/>
        <v>#VALUE!</v>
      </c>
      <c r="X25" s="2" t="e">
        <f t="shared" si="1"/>
        <v>#VALUE!</v>
      </c>
      <c r="Y25" s="2" t="e">
        <f t="shared" si="1"/>
        <v>#VALUE!</v>
      </c>
      <c r="Z25" s="2" t="e">
        <f t="shared" si="1"/>
        <v>#VALUE!</v>
      </c>
      <c r="AA25" s="2" t="e">
        <f t="shared" si="1"/>
        <v>#VALUE!</v>
      </c>
      <c r="AB25" s="2" t="e">
        <f t="shared" si="1"/>
        <v>#VALUE!</v>
      </c>
    </row>
    <row r="26" spans="1:28" ht="12.75">
      <c r="A26" t="s">
        <v>78</v>
      </c>
      <c r="C26" s="2">
        <f>C25*$B$7*$B$6</f>
        <v>0.007212987044196992</v>
      </c>
      <c r="D26" s="2">
        <f aca="true" t="shared" si="2" ref="D26:AB26">D25*$B$7*$B$6</f>
        <v>0.02750307207038463</v>
      </c>
      <c r="E26" s="2">
        <f t="shared" si="2"/>
        <v>0.07028646100558929</v>
      </c>
      <c r="F26" s="2">
        <f t="shared" si="2"/>
        <v>0.12321538692568039</v>
      </c>
      <c r="G26" s="2">
        <f t="shared" si="2"/>
        <v>0.15820450967374353</v>
      </c>
      <c r="H26" s="2">
        <f t="shared" si="2"/>
        <v>0.17288008496897148</v>
      </c>
      <c r="I26" s="2">
        <f t="shared" si="2"/>
        <v>0.17783762667347003</v>
      </c>
      <c r="J26" s="2">
        <f t="shared" si="2"/>
        <v>0.17938594947804767</v>
      </c>
      <c r="K26" s="2">
        <f t="shared" si="2"/>
        <v>0.17985749563528755</v>
      </c>
      <c r="L26" s="2">
        <f t="shared" si="2"/>
        <v>0.18</v>
      </c>
      <c r="M26" s="2" t="e">
        <f t="shared" si="2"/>
        <v>#VALUE!</v>
      </c>
      <c r="N26" s="2" t="e">
        <f t="shared" si="2"/>
        <v>#VALUE!</v>
      </c>
      <c r="O26" s="2" t="e">
        <f t="shared" si="2"/>
        <v>#VALUE!</v>
      </c>
      <c r="P26" s="2" t="e">
        <f t="shared" si="2"/>
        <v>#VALUE!</v>
      </c>
      <c r="Q26" s="2" t="e">
        <f t="shared" si="2"/>
        <v>#VALUE!</v>
      </c>
      <c r="R26" s="2" t="e">
        <f t="shared" si="2"/>
        <v>#VALUE!</v>
      </c>
      <c r="S26" s="2" t="e">
        <f t="shared" si="2"/>
        <v>#VALUE!</v>
      </c>
      <c r="T26" s="2" t="e">
        <f t="shared" si="2"/>
        <v>#VALUE!</v>
      </c>
      <c r="U26" s="2" t="e">
        <f t="shared" si="2"/>
        <v>#VALUE!</v>
      </c>
      <c r="V26" s="2" t="e">
        <f t="shared" si="2"/>
        <v>#VALUE!</v>
      </c>
      <c r="W26" s="2" t="e">
        <f t="shared" si="2"/>
        <v>#VALUE!</v>
      </c>
      <c r="X26" s="2" t="e">
        <f t="shared" si="2"/>
        <v>#VALUE!</v>
      </c>
      <c r="Y26" s="2" t="e">
        <f t="shared" si="2"/>
        <v>#VALUE!</v>
      </c>
      <c r="Z26" s="2" t="e">
        <f t="shared" si="2"/>
        <v>#VALUE!</v>
      </c>
      <c r="AA26" s="2" t="e">
        <f t="shared" si="2"/>
        <v>#VALUE!</v>
      </c>
      <c r="AB26" s="2" t="e">
        <f t="shared" si="2"/>
        <v>#VALUE!</v>
      </c>
    </row>
    <row r="27" spans="1:28" ht="12.75">
      <c r="A27" t="s">
        <v>5</v>
      </c>
      <c r="C27" s="2">
        <f>C25*$B$7</f>
        <v>0.012021645073661654</v>
      </c>
      <c r="D27" s="2">
        <f aca="true" t="shared" si="3" ref="D27:AB27">D25*$B$7</f>
        <v>0.04583845345064105</v>
      </c>
      <c r="E27" s="2">
        <f t="shared" si="3"/>
        <v>0.11714410167598215</v>
      </c>
      <c r="F27" s="2">
        <f t="shared" si="3"/>
        <v>0.20535897820946733</v>
      </c>
      <c r="G27" s="2">
        <f t="shared" si="3"/>
        <v>0.26367418278957255</v>
      </c>
      <c r="H27" s="2">
        <f t="shared" si="3"/>
        <v>0.2881334749482858</v>
      </c>
      <c r="I27" s="2">
        <f t="shared" si="3"/>
        <v>0.2963960444557834</v>
      </c>
      <c r="J27" s="2">
        <f t="shared" si="3"/>
        <v>0.2989765824634128</v>
      </c>
      <c r="K27" s="2">
        <f t="shared" si="3"/>
        <v>0.2997624927254793</v>
      </c>
      <c r="L27" s="2">
        <f t="shared" si="3"/>
        <v>0.3</v>
      </c>
      <c r="M27" s="2" t="e">
        <f t="shared" si="3"/>
        <v>#VALUE!</v>
      </c>
      <c r="N27" s="2" t="e">
        <f t="shared" si="3"/>
        <v>#VALUE!</v>
      </c>
      <c r="O27" s="2" t="e">
        <f t="shared" si="3"/>
        <v>#VALUE!</v>
      </c>
      <c r="P27" s="2" t="e">
        <f t="shared" si="3"/>
        <v>#VALUE!</v>
      </c>
      <c r="Q27" s="2" t="e">
        <f t="shared" si="3"/>
        <v>#VALUE!</v>
      </c>
      <c r="R27" s="2" t="e">
        <f t="shared" si="3"/>
        <v>#VALUE!</v>
      </c>
      <c r="S27" s="2" t="e">
        <f t="shared" si="3"/>
        <v>#VALUE!</v>
      </c>
      <c r="T27" s="2" t="e">
        <f t="shared" si="3"/>
        <v>#VALUE!</v>
      </c>
      <c r="U27" s="2" t="e">
        <f t="shared" si="3"/>
        <v>#VALUE!</v>
      </c>
      <c r="V27" s="2" t="e">
        <f t="shared" si="3"/>
        <v>#VALUE!</v>
      </c>
      <c r="W27" s="2" t="e">
        <f t="shared" si="3"/>
        <v>#VALUE!</v>
      </c>
      <c r="X27" s="2" t="e">
        <f t="shared" si="3"/>
        <v>#VALUE!</v>
      </c>
      <c r="Y27" s="2" t="e">
        <f t="shared" si="3"/>
        <v>#VALUE!</v>
      </c>
      <c r="Z27" s="2" t="e">
        <f t="shared" si="3"/>
        <v>#VALUE!</v>
      </c>
      <c r="AA27" s="2" t="e">
        <f t="shared" si="3"/>
        <v>#VALUE!</v>
      </c>
      <c r="AB27" s="2" t="e">
        <f t="shared" si="3"/>
        <v>#VALUE!</v>
      </c>
    </row>
    <row r="28" spans="1:28" ht="12.75">
      <c r="A28" t="s">
        <v>79</v>
      </c>
      <c r="C28">
        <v>0</v>
      </c>
      <c r="D28" s="3">
        <f>C29</f>
        <v>184.652468331443</v>
      </c>
      <c r="E28" s="3">
        <f aca="true" t="shared" si="4" ref="E28:AB28">D29</f>
        <v>704.0786450018464</v>
      </c>
      <c r="F28" s="3">
        <f t="shared" si="4"/>
        <v>1799.3334017430857</v>
      </c>
      <c r="G28" s="3">
        <f t="shared" si="4"/>
        <v>3154.313905297418</v>
      </c>
      <c r="H28" s="3">
        <f t="shared" si="4"/>
        <v>4050.035447647834</v>
      </c>
      <c r="I28" s="3">
        <f t="shared" si="4"/>
        <v>4425.73017520567</v>
      </c>
      <c r="J28" s="3">
        <f t="shared" si="4"/>
        <v>4552.6432428408325</v>
      </c>
      <c r="K28" s="3">
        <f t="shared" si="4"/>
        <v>4592.28030663802</v>
      </c>
      <c r="L28" s="3">
        <f t="shared" si="4"/>
        <v>4604.351888263362</v>
      </c>
      <c r="M28" s="3">
        <f t="shared" si="4"/>
        <v>4608</v>
      </c>
      <c r="N28" s="3" t="e">
        <f t="shared" si="4"/>
        <v>#VALUE!</v>
      </c>
      <c r="O28" s="3" t="e">
        <f t="shared" si="4"/>
        <v>#VALUE!</v>
      </c>
      <c r="P28" s="3" t="e">
        <f t="shared" si="4"/>
        <v>#VALUE!</v>
      </c>
      <c r="Q28" s="3" t="e">
        <f t="shared" si="4"/>
        <v>#VALUE!</v>
      </c>
      <c r="R28" s="3" t="e">
        <f t="shared" si="4"/>
        <v>#VALUE!</v>
      </c>
      <c r="S28" s="3" t="e">
        <f t="shared" si="4"/>
        <v>#VALUE!</v>
      </c>
      <c r="T28" s="3" t="e">
        <f t="shared" si="4"/>
        <v>#VALUE!</v>
      </c>
      <c r="U28" s="3" t="e">
        <f t="shared" si="4"/>
        <v>#VALUE!</v>
      </c>
      <c r="V28" s="3" t="e">
        <f t="shared" si="4"/>
        <v>#VALUE!</v>
      </c>
      <c r="W28" s="3" t="e">
        <f t="shared" si="4"/>
        <v>#VALUE!</v>
      </c>
      <c r="X28" s="3" t="e">
        <f t="shared" si="4"/>
        <v>#VALUE!</v>
      </c>
      <c r="Y28" s="3" t="e">
        <f t="shared" si="4"/>
        <v>#VALUE!</v>
      </c>
      <c r="Z28" s="3" t="e">
        <f t="shared" si="4"/>
        <v>#VALUE!</v>
      </c>
      <c r="AA28" s="3" t="e">
        <f t="shared" si="4"/>
        <v>#VALUE!</v>
      </c>
      <c r="AB28" s="3" t="e">
        <f t="shared" si="4"/>
        <v>#VALUE!</v>
      </c>
    </row>
    <row r="29" spans="1:28" ht="12.75">
      <c r="A29" t="s">
        <v>80</v>
      </c>
      <c r="C29" s="3">
        <f>C26*$B$5</f>
        <v>184.652468331443</v>
      </c>
      <c r="D29" s="3">
        <f aca="true" t="shared" si="5" ref="D29:AB29">D26*$B$5</f>
        <v>704.0786450018464</v>
      </c>
      <c r="E29" s="3">
        <f t="shared" si="5"/>
        <v>1799.3334017430857</v>
      </c>
      <c r="F29" s="3">
        <f t="shared" si="5"/>
        <v>3154.313905297418</v>
      </c>
      <c r="G29" s="3">
        <f t="shared" si="5"/>
        <v>4050.035447647834</v>
      </c>
      <c r="H29" s="3">
        <f t="shared" si="5"/>
        <v>4425.73017520567</v>
      </c>
      <c r="I29" s="3">
        <f t="shared" si="5"/>
        <v>4552.6432428408325</v>
      </c>
      <c r="J29" s="3">
        <f t="shared" si="5"/>
        <v>4592.28030663802</v>
      </c>
      <c r="K29" s="3">
        <f t="shared" si="5"/>
        <v>4604.351888263362</v>
      </c>
      <c r="L29" s="3">
        <f t="shared" si="5"/>
        <v>4608</v>
      </c>
      <c r="M29" s="3" t="e">
        <f t="shared" si="5"/>
        <v>#VALUE!</v>
      </c>
      <c r="N29" s="3" t="e">
        <f t="shared" si="5"/>
        <v>#VALUE!</v>
      </c>
      <c r="O29" s="3" t="e">
        <f t="shared" si="5"/>
        <v>#VALUE!</v>
      </c>
      <c r="P29" s="3" t="e">
        <f t="shared" si="5"/>
        <v>#VALUE!</v>
      </c>
      <c r="Q29" s="3" t="e">
        <f t="shared" si="5"/>
        <v>#VALUE!</v>
      </c>
      <c r="R29" s="3" t="e">
        <f t="shared" si="5"/>
        <v>#VALUE!</v>
      </c>
      <c r="S29" s="3" t="e">
        <f t="shared" si="5"/>
        <v>#VALUE!</v>
      </c>
      <c r="T29" s="3" t="e">
        <f t="shared" si="5"/>
        <v>#VALUE!</v>
      </c>
      <c r="U29" s="3" t="e">
        <f t="shared" si="5"/>
        <v>#VALUE!</v>
      </c>
      <c r="V29" s="3" t="e">
        <f t="shared" si="5"/>
        <v>#VALUE!</v>
      </c>
      <c r="W29" s="3" t="e">
        <f t="shared" si="5"/>
        <v>#VALUE!</v>
      </c>
      <c r="X29" s="3" t="e">
        <f t="shared" si="5"/>
        <v>#VALUE!</v>
      </c>
      <c r="Y29" s="3" t="e">
        <f t="shared" si="5"/>
        <v>#VALUE!</v>
      </c>
      <c r="Z29" s="3" t="e">
        <f t="shared" si="5"/>
        <v>#VALUE!</v>
      </c>
      <c r="AA29" s="3" t="e">
        <f t="shared" si="5"/>
        <v>#VALUE!</v>
      </c>
      <c r="AB29" s="3" t="e">
        <f t="shared" si="5"/>
        <v>#VALUE!</v>
      </c>
    </row>
    <row r="30" spans="1:28" ht="12.75">
      <c r="A30" t="s">
        <v>81</v>
      </c>
      <c r="C30" s="3">
        <f aca="true" t="shared" si="6" ref="C30:AB30">(C29+C28)/2</f>
        <v>92.3262341657215</v>
      </c>
      <c r="D30" s="3">
        <f t="shared" si="6"/>
        <v>444.3655566666447</v>
      </c>
      <c r="E30" s="3">
        <f t="shared" si="6"/>
        <v>1251.706023372466</v>
      </c>
      <c r="F30" s="3">
        <f t="shared" si="6"/>
        <v>2476.823653520252</v>
      </c>
      <c r="G30" s="3">
        <f t="shared" si="6"/>
        <v>3602.174676472626</v>
      </c>
      <c r="H30" s="3">
        <f t="shared" si="6"/>
        <v>4237.882811426753</v>
      </c>
      <c r="I30" s="3">
        <f t="shared" si="6"/>
        <v>4489.186709023252</v>
      </c>
      <c r="J30" s="3">
        <f t="shared" si="6"/>
        <v>4572.461774739426</v>
      </c>
      <c r="K30" s="3">
        <f t="shared" si="6"/>
        <v>4598.316097450691</v>
      </c>
      <c r="L30" s="3">
        <f t="shared" si="6"/>
        <v>4606.175944131681</v>
      </c>
      <c r="M30" s="3" t="e">
        <f t="shared" si="6"/>
        <v>#VALUE!</v>
      </c>
      <c r="N30" s="3" t="e">
        <f t="shared" si="6"/>
        <v>#VALUE!</v>
      </c>
      <c r="O30" s="3" t="e">
        <f t="shared" si="6"/>
        <v>#VALUE!</v>
      </c>
      <c r="P30" s="3" t="e">
        <f t="shared" si="6"/>
        <v>#VALUE!</v>
      </c>
      <c r="Q30" s="3" t="e">
        <f t="shared" si="6"/>
        <v>#VALUE!</v>
      </c>
      <c r="R30" s="3" t="e">
        <f t="shared" si="6"/>
        <v>#VALUE!</v>
      </c>
      <c r="S30" s="3" t="e">
        <f t="shared" si="6"/>
        <v>#VALUE!</v>
      </c>
      <c r="T30" s="3" t="e">
        <f t="shared" si="6"/>
        <v>#VALUE!</v>
      </c>
      <c r="U30" s="3" t="e">
        <f t="shared" si="6"/>
        <v>#VALUE!</v>
      </c>
      <c r="V30" s="3" t="e">
        <f t="shared" si="6"/>
        <v>#VALUE!</v>
      </c>
      <c r="W30" s="3" t="e">
        <f t="shared" si="6"/>
        <v>#VALUE!</v>
      </c>
      <c r="X30" s="3" t="e">
        <f t="shared" si="6"/>
        <v>#VALUE!</v>
      </c>
      <c r="Y30" s="3" t="e">
        <f t="shared" si="6"/>
        <v>#VALUE!</v>
      </c>
      <c r="Z30" s="3" t="e">
        <f t="shared" si="6"/>
        <v>#VALUE!</v>
      </c>
      <c r="AA30" s="3" t="e">
        <f t="shared" si="6"/>
        <v>#VALUE!</v>
      </c>
      <c r="AB30" s="3" t="e">
        <f t="shared" si="6"/>
        <v>#VALUE!</v>
      </c>
    </row>
    <row r="31" spans="1:28" ht="12.75">
      <c r="A31" t="s">
        <v>82</v>
      </c>
      <c r="C31" s="3">
        <f>CEILING(C29/$B$18,1)</f>
        <v>1</v>
      </c>
      <c r="D31" s="3">
        <f>CEILING(D29/$B$18,1)-CEILING(C29/$B$18,1)</f>
        <v>0</v>
      </c>
      <c r="E31" s="3">
        <f aca="true" t="shared" si="7" ref="E31:AB31">CEILING(E29/$B$18,1)-CEILING(D29/$B$18,1)</f>
        <v>0</v>
      </c>
      <c r="F31" s="3">
        <f t="shared" si="7"/>
        <v>0</v>
      </c>
      <c r="G31" s="3">
        <f t="shared" si="7"/>
        <v>0</v>
      </c>
      <c r="H31" s="3">
        <f t="shared" si="7"/>
        <v>0</v>
      </c>
      <c r="I31" s="3">
        <f t="shared" si="7"/>
        <v>0</v>
      </c>
      <c r="J31" s="3">
        <f t="shared" si="7"/>
        <v>0</v>
      </c>
      <c r="K31" s="3">
        <f t="shared" si="7"/>
        <v>0</v>
      </c>
      <c r="L31" s="3">
        <f t="shared" si="7"/>
        <v>0</v>
      </c>
      <c r="M31" s="3" t="e">
        <f t="shared" si="7"/>
        <v>#VALUE!</v>
      </c>
      <c r="N31" s="3" t="e">
        <f t="shared" si="7"/>
        <v>#VALUE!</v>
      </c>
      <c r="O31" s="3" t="e">
        <f t="shared" si="7"/>
        <v>#VALUE!</v>
      </c>
      <c r="P31" s="3" t="e">
        <f t="shared" si="7"/>
        <v>#VALUE!</v>
      </c>
      <c r="Q31" s="3" t="e">
        <f t="shared" si="7"/>
        <v>#VALUE!</v>
      </c>
      <c r="R31" s="3" t="e">
        <f t="shared" si="7"/>
        <v>#VALUE!</v>
      </c>
      <c r="S31" s="3" t="e">
        <f t="shared" si="7"/>
        <v>#VALUE!</v>
      </c>
      <c r="T31" s="3" t="e">
        <f t="shared" si="7"/>
        <v>#VALUE!</v>
      </c>
      <c r="U31" s="3" t="e">
        <f t="shared" si="7"/>
        <v>#VALUE!</v>
      </c>
      <c r="V31" s="3" t="e">
        <f t="shared" si="7"/>
        <v>#VALUE!</v>
      </c>
      <c r="W31" s="3" t="e">
        <f t="shared" si="7"/>
        <v>#VALUE!</v>
      </c>
      <c r="X31" s="3" t="e">
        <f t="shared" si="7"/>
        <v>#VALUE!</v>
      </c>
      <c r="Y31" s="3" t="e">
        <f t="shared" si="7"/>
        <v>#VALUE!</v>
      </c>
      <c r="Z31" s="3" t="e">
        <f t="shared" si="7"/>
        <v>#VALUE!</v>
      </c>
      <c r="AA31" s="3" t="e">
        <f t="shared" si="7"/>
        <v>#VALUE!</v>
      </c>
      <c r="AB31" s="3" t="e">
        <f t="shared" si="7"/>
        <v>#VALUE!</v>
      </c>
    </row>
    <row r="32" spans="3:28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2.75">
      <c r="A33" s="6" t="s">
        <v>6</v>
      </c>
    </row>
    <row r="34" spans="1:28" ht="12.75">
      <c r="A34" t="s">
        <v>8</v>
      </c>
      <c r="C34" s="4">
        <f aca="true" t="shared" si="8" ref="C34:AB34">C30*$B$11*12*(1+$B$15)^(C24-1)</f>
        <v>33237.44429965974</v>
      </c>
      <c r="D34" s="4">
        <f t="shared" si="8"/>
        <v>163171.03240799194</v>
      </c>
      <c r="E34" s="4">
        <f t="shared" si="8"/>
        <v>468818.98081801686</v>
      </c>
      <c r="F34" s="4">
        <f t="shared" si="8"/>
        <v>946233.0272537709</v>
      </c>
      <c r="G34" s="4">
        <f t="shared" si="8"/>
        <v>1403679.4976705636</v>
      </c>
      <c r="H34" s="4">
        <f t="shared" si="8"/>
        <v>1684427.4209907085</v>
      </c>
      <c r="I34" s="4">
        <f t="shared" si="8"/>
        <v>1819999.211314111</v>
      </c>
      <c r="J34" s="4">
        <f t="shared" si="8"/>
        <v>1890835.6703462529</v>
      </c>
      <c r="K34" s="4">
        <f t="shared" si="8"/>
        <v>1939557.6692610588</v>
      </c>
      <c r="L34" s="4">
        <f t="shared" si="8"/>
        <v>1981730.390615506</v>
      </c>
      <c r="M34" s="4" t="e">
        <f t="shared" si="8"/>
        <v>#VALUE!</v>
      </c>
      <c r="N34" s="4" t="e">
        <f t="shared" si="8"/>
        <v>#VALUE!</v>
      </c>
      <c r="O34" s="4" t="e">
        <f t="shared" si="8"/>
        <v>#VALUE!</v>
      </c>
      <c r="P34" s="4" t="e">
        <f t="shared" si="8"/>
        <v>#VALUE!</v>
      </c>
      <c r="Q34" s="4" t="e">
        <f t="shared" si="8"/>
        <v>#VALUE!</v>
      </c>
      <c r="R34" s="4" t="e">
        <f t="shared" si="8"/>
        <v>#VALUE!</v>
      </c>
      <c r="S34" s="4" t="e">
        <f t="shared" si="8"/>
        <v>#VALUE!</v>
      </c>
      <c r="T34" s="4" t="e">
        <f t="shared" si="8"/>
        <v>#VALUE!</v>
      </c>
      <c r="U34" s="4" t="e">
        <f t="shared" si="8"/>
        <v>#VALUE!</v>
      </c>
      <c r="V34" s="4" t="e">
        <f t="shared" si="8"/>
        <v>#VALUE!</v>
      </c>
      <c r="W34" s="4" t="e">
        <f t="shared" si="8"/>
        <v>#VALUE!</v>
      </c>
      <c r="X34" s="4" t="e">
        <f t="shared" si="8"/>
        <v>#VALUE!</v>
      </c>
      <c r="Y34" s="4" t="e">
        <f t="shared" si="8"/>
        <v>#VALUE!</v>
      </c>
      <c r="Z34" s="4" t="e">
        <f t="shared" si="8"/>
        <v>#VALUE!</v>
      </c>
      <c r="AA34" s="4" t="e">
        <f t="shared" si="8"/>
        <v>#VALUE!</v>
      </c>
      <c r="AB34" s="4" t="e">
        <f t="shared" si="8"/>
        <v>#VALUE!</v>
      </c>
    </row>
    <row r="35" spans="1:28" ht="12.75">
      <c r="A35" t="s">
        <v>36</v>
      </c>
      <c r="C35" s="4">
        <f>(C29-0)*$B$12*(1+$B$15)^(C24-1)*$B$19^(C24-1)</f>
        <v>36930.4936662886</v>
      </c>
      <c r="D35" s="4">
        <f aca="true" t="shared" si="9" ref="D35:AB35">(D29-C29)*$B$12*(1+$B$15)^(D24-1)*$B$19^(D24-1)</f>
        <v>68875.91102649551</v>
      </c>
      <c r="E35" s="4">
        <f t="shared" si="9"/>
        <v>96288.00763319798</v>
      </c>
      <c r="F35" s="4">
        <f t="shared" si="9"/>
        <v>78977.54455060755</v>
      </c>
      <c r="G35" s="4">
        <f t="shared" si="9"/>
        <v>34614.42554451747</v>
      </c>
      <c r="H35" s="4">
        <f t="shared" si="9"/>
        <v>9625.709217712163</v>
      </c>
      <c r="I35" s="4">
        <f t="shared" si="9"/>
        <v>2155.844874931462</v>
      </c>
      <c r="J35" s="4">
        <f t="shared" si="9"/>
        <v>446.4020395659078</v>
      </c>
      <c r="K35" s="4">
        <f t="shared" si="9"/>
        <v>90.13685445419097</v>
      </c>
      <c r="L35" s="4">
        <f t="shared" si="9"/>
        <v>18.06008886800099</v>
      </c>
      <c r="M35" s="4" t="e">
        <f t="shared" si="9"/>
        <v>#VALUE!</v>
      </c>
      <c r="N35" s="4" t="e">
        <f t="shared" si="9"/>
        <v>#VALUE!</v>
      </c>
      <c r="O35" s="4" t="e">
        <f t="shared" si="9"/>
        <v>#VALUE!</v>
      </c>
      <c r="P35" s="4" t="e">
        <f t="shared" si="9"/>
        <v>#VALUE!</v>
      </c>
      <c r="Q35" s="4" t="e">
        <f t="shared" si="9"/>
        <v>#VALUE!</v>
      </c>
      <c r="R35" s="4" t="e">
        <f t="shared" si="9"/>
        <v>#VALUE!</v>
      </c>
      <c r="S35" s="4" t="e">
        <f t="shared" si="9"/>
        <v>#VALUE!</v>
      </c>
      <c r="T35" s="4" t="e">
        <f t="shared" si="9"/>
        <v>#VALUE!</v>
      </c>
      <c r="U35" s="4" t="e">
        <f t="shared" si="9"/>
        <v>#VALUE!</v>
      </c>
      <c r="V35" s="4" t="e">
        <f t="shared" si="9"/>
        <v>#VALUE!</v>
      </c>
      <c r="W35" s="4" t="e">
        <f t="shared" si="9"/>
        <v>#VALUE!</v>
      </c>
      <c r="X35" s="4" t="e">
        <f t="shared" si="9"/>
        <v>#VALUE!</v>
      </c>
      <c r="Y35" s="4" t="e">
        <f t="shared" si="9"/>
        <v>#VALUE!</v>
      </c>
      <c r="Z35" s="4" t="e">
        <f t="shared" si="9"/>
        <v>#VALUE!</v>
      </c>
      <c r="AA35" s="4" t="e">
        <f t="shared" si="9"/>
        <v>#VALUE!</v>
      </c>
      <c r="AB35" s="4" t="e">
        <f t="shared" si="9"/>
        <v>#VALUE!</v>
      </c>
    </row>
    <row r="36" spans="1:28" ht="12.75">
      <c r="A36" t="s">
        <v>37</v>
      </c>
      <c r="C36" s="4">
        <f>(C29-0)*$B$13*(1+$B$15)^(C24-1)*$B$19^(C24-1)</f>
        <v>18465.2468331443</v>
      </c>
      <c r="D36" s="4">
        <f aca="true" t="shared" si="10" ref="D36:AB36">(D29-C29)*$B$13*(1+$B$15)^(D24-1)*$B$19^(D24-1)</f>
        <v>34437.955513247754</v>
      </c>
      <c r="E36" s="4">
        <f t="shared" si="10"/>
        <v>48144.00381659899</v>
      </c>
      <c r="F36" s="4">
        <f t="shared" si="10"/>
        <v>39488.772275303774</v>
      </c>
      <c r="G36" s="4">
        <f t="shared" si="10"/>
        <v>17307.212772258736</v>
      </c>
      <c r="H36" s="4">
        <f t="shared" si="10"/>
        <v>4812.8546088560815</v>
      </c>
      <c r="I36" s="4">
        <f t="shared" si="10"/>
        <v>1077.922437465731</v>
      </c>
      <c r="J36" s="4">
        <f t="shared" si="10"/>
        <v>223.2010197829539</v>
      </c>
      <c r="K36" s="4">
        <f t="shared" si="10"/>
        <v>45.06842722709548</v>
      </c>
      <c r="L36" s="4">
        <f t="shared" si="10"/>
        <v>9.030044434000494</v>
      </c>
      <c r="M36" s="4" t="e">
        <f t="shared" si="10"/>
        <v>#VALUE!</v>
      </c>
      <c r="N36" s="4" t="e">
        <f t="shared" si="10"/>
        <v>#VALUE!</v>
      </c>
      <c r="O36" s="4" t="e">
        <f t="shared" si="10"/>
        <v>#VALUE!</v>
      </c>
      <c r="P36" s="4" t="e">
        <f t="shared" si="10"/>
        <v>#VALUE!</v>
      </c>
      <c r="Q36" s="4" t="e">
        <f t="shared" si="10"/>
        <v>#VALUE!</v>
      </c>
      <c r="R36" s="4" t="e">
        <f t="shared" si="10"/>
        <v>#VALUE!</v>
      </c>
      <c r="S36" s="4" t="e">
        <f t="shared" si="10"/>
        <v>#VALUE!</v>
      </c>
      <c r="T36" s="4" t="e">
        <f t="shared" si="10"/>
        <v>#VALUE!</v>
      </c>
      <c r="U36" s="4" t="e">
        <f t="shared" si="10"/>
        <v>#VALUE!</v>
      </c>
      <c r="V36" s="4" t="e">
        <f t="shared" si="10"/>
        <v>#VALUE!</v>
      </c>
      <c r="W36" s="4" t="e">
        <f t="shared" si="10"/>
        <v>#VALUE!</v>
      </c>
      <c r="X36" s="4" t="e">
        <f t="shared" si="10"/>
        <v>#VALUE!</v>
      </c>
      <c r="Y36" s="4" t="e">
        <f t="shared" si="10"/>
        <v>#VALUE!</v>
      </c>
      <c r="Z36" s="4" t="e">
        <f t="shared" si="10"/>
        <v>#VALUE!</v>
      </c>
      <c r="AA36" s="4" t="e">
        <f t="shared" si="10"/>
        <v>#VALUE!</v>
      </c>
      <c r="AB36" s="4" t="e">
        <f t="shared" si="10"/>
        <v>#VALUE!</v>
      </c>
    </row>
    <row r="37" spans="1:28" s="10" customFormat="1" ht="12.75">
      <c r="A37" s="10" t="s">
        <v>38</v>
      </c>
      <c r="C37" s="11">
        <f>(C29-0)*$B$14*(1+$B$15)^(C24-1)</f>
        <v>9232.62341657215</v>
      </c>
      <c r="D37" s="11">
        <f aca="true" t="shared" si="11" ref="D37:AB37">(D29-C29)*$B$14*(1+$B$15)^(D24-1)</f>
        <v>26490.73501019058</v>
      </c>
      <c r="E37" s="11">
        <f t="shared" si="11"/>
        <v>56975.152445679276</v>
      </c>
      <c r="F37" s="11">
        <f t="shared" si="11"/>
        <v>71895.80751079429</v>
      </c>
      <c r="G37" s="11">
        <f t="shared" si="11"/>
        <v>48477.890192244624</v>
      </c>
      <c r="H37" s="11">
        <f t="shared" si="11"/>
        <v>20739.86682800303</v>
      </c>
      <c r="I37" s="11">
        <f t="shared" si="11"/>
        <v>7146.236364211508</v>
      </c>
      <c r="J37" s="11">
        <f t="shared" si="11"/>
        <v>2276.5263545764824</v>
      </c>
      <c r="K37" s="11">
        <f t="shared" si="11"/>
        <v>707.1890927432927</v>
      </c>
      <c r="L37" s="11">
        <f t="shared" si="11"/>
        <v>217.9915612980183</v>
      </c>
      <c r="M37" s="11" t="e">
        <f t="shared" si="11"/>
        <v>#VALUE!</v>
      </c>
      <c r="N37" s="11" t="e">
        <f t="shared" si="11"/>
        <v>#VALUE!</v>
      </c>
      <c r="O37" s="11" t="e">
        <f t="shared" si="11"/>
        <v>#VALUE!</v>
      </c>
      <c r="P37" s="11" t="e">
        <f t="shared" si="11"/>
        <v>#VALUE!</v>
      </c>
      <c r="Q37" s="11" t="e">
        <f t="shared" si="11"/>
        <v>#VALUE!</v>
      </c>
      <c r="R37" s="11" t="e">
        <f t="shared" si="11"/>
        <v>#VALUE!</v>
      </c>
      <c r="S37" s="11" t="e">
        <f t="shared" si="11"/>
        <v>#VALUE!</v>
      </c>
      <c r="T37" s="11" t="e">
        <f t="shared" si="11"/>
        <v>#VALUE!</v>
      </c>
      <c r="U37" s="11" t="e">
        <f t="shared" si="11"/>
        <v>#VALUE!</v>
      </c>
      <c r="V37" s="11" t="e">
        <f t="shared" si="11"/>
        <v>#VALUE!</v>
      </c>
      <c r="W37" s="11" t="e">
        <f t="shared" si="11"/>
        <v>#VALUE!</v>
      </c>
      <c r="X37" s="11" t="e">
        <f t="shared" si="11"/>
        <v>#VALUE!</v>
      </c>
      <c r="Y37" s="11" t="e">
        <f t="shared" si="11"/>
        <v>#VALUE!</v>
      </c>
      <c r="Z37" s="11" t="e">
        <f t="shared" si="11"/>
        <v>#VALUE!</v>
      </c>
      <c r="AA37" s="11" t="e">
        <f t="shared" si="11"/>
        <v>#VALUE!</v>
      </c>
      <c r="AB37" s="11" t="e">
        <f t="shared" si="11"/>
        <v>#VALUE!</v>
      </c>
    </row>
    <row r="38" spans="1:28" s="10" customFormat="1" ht="12.75">
      <c r="A38" s="10" t="s">
        <v>33</v>
      </c>
      <c r="C38" s="11">
        <f aca="true" t="shared" si="12" ref="C38:AB38">(1+$B$15)^(C24-1)*$B$19^(C24-1)*IF($B$17-C24&lt;0,INDEX($C$35:$AB$35,1,COLUMN(C24)-$B$17-2),0)</f>
        <v>0</v>
      </c>
      <c r="D38" s="11">
        <f t="shared" si="12"/>
        <v>0</v>
      </c>
      <c r="E38" s="11">
        <f t="shared" si="12"/>
        <v>0</v>
      </c>
      <c r="F38" s="11">
        <f t="shared" si="12"/>
        <v>0</v>
      </c>
      <c r="G38" s="11">
        <f t="shared" si="12"/>
        <v>0</v>
      </c>
      <c r="H38" s="11">
        <f t="shared" si="12"/>
        <v>4730.997898333968</v>
      </c>
      <c r="I38" s="11">
        <f t="shared" si="12"/>
        <v>5849.901139398762</v>
      </c>
      <c r="J38" s="11">
        <f t="shared" si="12"/>
        <v>5422.092213127929</v>
      </c>
      <c r="K38" s="11">
        <f t="shared" si="12"/>
        <v>2948.5727965270476</v>
      </c>
      <c r="L38" s="11">
        <f t="shared" si="12"/>
        <v>856.7988682616871</v>
      </c>
      <c r="M38" s="11" t="e">
        <f t="shared" si="12"/>
        <v>#VALUE!</v>
      </c>
      <c r="N38" s="11" t="e">
        <f t="shared" si="12"/>
        <v>#VALUE!</v>
      </c>
      <c r="O38" s="11" t="e">
        <f t="shared" si="12"/>
        <v>#VALUE!</v>
      </c>
      <c r="P38" s="11" t="e">
        <f t="shared" si="12"/>
        <v>#VALUE!</v>
      </c>
      <c r="Q38" s="11" t="e">
        <f t="shared" si="12"/>
        <v>#VALUE!</v>
      </c>
      <c r="R38" s="11" t="e">
        <f t="shared" si="12"/>
        <v>#VALUE!</v>
      </c>
      <c r="S38" s="11" t="e">
        <f t="shared" si="12"/>
        <v>#VALUE!</v>
      </c>
      <c r="T38" s="11" t="e">
        <f t="shared" si="12"/>
        <v>#VALUE!</v>
      </c>
      <c r="U38" s="11" t="e">
        <f t="shared" si="12"/>
        <v>#VALUE!</v>
      </c>
      <c r="V38" s="11" t="e">
        <f t="shared" si="12"/>
        <v>#VALUE!</v>
      </c>
      <c r="W38" s="11" t="e">
        <f t="shared" si="12"/>
        <v>#VALUE!</v>
      </c>
      <c r="X38" s="11" t="e">
        <f t="shared" si="12"/>
        <v>#VALUE!</v>
      </c>
      <c r="Y38" s="11" t="e">
        <f t="shared" si="12"/>
        <v>#VALUE!</v>
      </c>
      <c r="Z38" s="11" t="e">
        <f t="shared" si="12"/>
        <v>#VALUE!</v>
      </c>
      <c r="AA38" s="11" t="e">
        <f t="shared" si="12"/>
        <v>#VALUE!</v>
      </c>
      <c r="AB38" s="11" t="e">
        <f t="shared" si="12"/>
        <v>#VALUE!</v>
      </c>
    </row>
    <row r="39" spans="1:28" s="10" customFormat="1" ht="12.75">
      <c r="A39" t="s">
        <v>34</v>
      </c>
      <c r="C39" s="11">
        <f aca="true" t="shared" si="13" ref="C39:AB39">(1+$B$15)^(C24-1)*$B$19^(C24-1)*IF($B$17-C24&lt;0,INDEX($C$36:$AB$36,1,COLUMN(C24)-$B$17-2),0)</f>
        <v>0</v>
      </c>
      <c r="D39" s="11">
        <f t="shared" si="13"/>
        <v>0</v>
      </c>
      <c r="E39" s="11">
        <f t="shared" si="13"/>
        <v>0</v>
      </c>
      <c r="F39" s="11">
        <f t="shared" si="13"/>
        <v>0</v>
      </c>
      <c r="G39" s="11">
        <f t="shared" si="13"/>
        <v>0</v>
      </c>
      <c r="H39" s="11">
        <f t="shared" si="13"/>
        <v>2365.498949166984</v>
      </c>
      <c r="I39" s="11">
        <f t="shared" si="13"/>
        <v>2924.950569699381</v>
      </c>
      <c r="J39" s="11">
        <f t="shared" si="13"/>
        <v>2711.0461065639647</v>
      </c>
      <c r="K39" s="11">
        <f t="shared" si="13"/>
        <v>1474.2863982635238</v>
      </c>
      <c r="L39" s="11">
        <f t="shared" si="13"/>
        <v>428.39943413084353</v>
      </c>
      <c r="M39" s="11" t="e">
        <f t="shared" si="13"/>
        <v>#VALUE!</v>
      </c>
      <c r="N39" s="11" t="e">
        <f t="shared" si="13"/>
        <v>#VALUE!</v>
      </c>
      <c r="O39" s="11" t="e">
        <f t="shared" si="13"/>
        <v>#VALUE!</v>
      </c>
      <c r="P39" s="11" t="e">
        <f t="shared" si="13"/>
        <v>#VALUE!</v>
      </c>
      <c r="Q39" s="11" t="e">
        <f t="shared" si="13"/>
        <v>#VALUE!</v>
      </c>
      <c r="R39" s="11" t="e">
        <f t="shared" si="13"/>
        <v>#VALUE!</v>
      </c>
      <c r="S39" s="11" t="e">
        <f t="shared" si="13"/>
        <v>#VALUE!</v>
      </c>
      <c r="T39" s="11" t="e">
        <f t="shared" si="13"/>
        <v>#VALUE!</v>
      </c>
      <c r="U39" s="11" t="e">
        <f t="shared" si="13"/>
        <v>#VALUE!</v>
      </c>
      <c r="V39" s="11" t="e">
        <f t="shared" si="13"/>
        <v>#VALUE!</v>
      </c>
      <c r="W39" s="11" t="e">
        <f t="shared" si="13"/>
        <v>#VALUE!</v>
      </c>
      <c r="X39" s="11" t="e">
        <f t="shared" si="13"/>
        <v>#VALUE!</v>
      </c>
      <c r="Y39" s="11" t="e">
        <f t="shared" si="13"/>
        <v>#VALUE!</v>
      </c>
      <c r="Z39" s="11" t="e">
        <f t="shared" si="13"/>
        <v>#VALUE!</v>
      </c>
      <c r="AA39" s="11" t="e">
        <f t="shared" si="13"/>
        <v>#VALUE!</v>
      </c>
      <c r="AB39" s="11" t="e">
        <f t="shared" si="13"/>
        <v>#VALUE!</v>
      </c>
    </row>
    <row r="40" spans="1:28" s="10" customFormat="1" ht="12.75">
      <c r="A40" s="10" t="s">
        <v>35</v>
      </c>
      <c r="C40" s="11">
        <f aca="true" t="shared" si="14" ref="C40:AB40">(1+$B$15)^(C24-1)*IF($B$17-C24&lt;0,INDEX($C$37:$AB$37,1,COLUMN(C24)-$B$17-2),0)</f>
        <v>0</v>
      </c>
      <c r="D40" s="11">
        <f t="shared" si="14"/>
        <v>0</v>
      </c>
      <c r="E40" s="11">
        <f t="shared" si="14"/>
        <v>0</v>
      </c>
      <c r="F40" s="11">
        <f t="shared" si="14"/>
        <v>0</v>
      </c>
      <c r="G40" s="11">
        <f t="shared" si="14"/>
        <v>0</v>
      </c>
      <c r="H40" s="11">
        <f t="shared" si="14"/>
        <v>10193.56227741211</v>
      </c>
      <c r="I40" s="11">
        <f t="shared" si="14"/>
        <v>29832.870227157768</v>
      </c>
      <c r="J40" s="11">
        <f t="shared" si="14"/>
        <v>65446.5410264846</v>
      </c>
      <c r="K40" s="11">
        <f t="shared" si="14"/>
        <v>84237.39732475526</v>
      </c>
      <c r="L40" s="11">
        <f t="shared" si="14"/>
        <v>57935.566311239956</v>
      </c>
      <c r="M40" s="11" t="e">
        <f t="shared" si="14"/>
        <v>#VALUE!</v>
      </c>
      <c r="N40" s="11" t="e">
        <f t="shared" si="14"/>
        <v>#VALUE!</v>
      </c>
      <c r="O40" s="11" t="e">
        <f t="shared" si="14"/>
        <v>#VALUE!</v>
      </c>
      <c r="P40" s="11" t="e">
        <f t="shared" si="14"/>
        <v>#VALUE!</v>
      </c>
      <c r="Q40" s="11" t="e">
        <f t="shared" si="14"/>
        <v>#VALUE!</v>
      </c>
      <c r="R40" s="11" t="e">
        <f t="shared" si="14"/>
        <v>#VALUE!</v>
      </c>
      <c r="S40" s="11" t="e">
        <f t="shared" si="14"/>
        <v>#VALUE!</v>
      </c>
      <c r="T40" s="11" t="e">
        <f t="shared" si="14"/>
        <v>#VALUE!</v>
      </c>
      <c r="U40" s="11" t="e">
        <f t="shared" si="14"/>
        <v>#VALUE!</v>
      </c>
      <c r="V40" s="11" t="e">
        <f t="shared" si="14"/>
        <v>#VALUE!</v>
      </c>
      <c r="W40" s="11" t="e">
        <f t="shared" si="14"/>
        <v>#VALUE!</v>
      </c>
      <c r="X40" s="11" t="e">
        <f t="shared" si="14"/>
        <v>#VALUE!</v>
      </c>
      <c r="Y40" s="11" t="e">
        <f t="shared" si="14"/>
        <v>#VALUE!</v>
      </c>
      <c r="Z40" s="11" t="e">
        <f t="shared" si="14"/>
        <v>#VALUE!</v>
      </c>
      <c r="AA40" s="11" t="e">
        <f t="shared" si="14"/>
        <v>#VALUE!</v>
      </c>
      <c r="AB40" s="11" t="e">
        <f t="shared" si="14"/>
        <v>#VALUE!</v>
      </c>
    </row>
    <row r="41" spans="1:28" s="14" customFormat="1" ht="12.75">
      <c r="A41" s="14" t="s">
        <v>15</v>
      </c>
      <c r="C41" s="15">
        <f>SUM(C34:C40)</f>
        <v>97865.8082156648</v>
      </c>
      <c r="D41" s="15">
        <f aca="true" t="shared" si="15" ref="D41:AB41">SUM(D34:D40)</f>
        <v>292975.6339579258</v>
      </c>
      <c r="E41" s="15">
        <f t="shared" si="15"/>
        <v>670226.1447134932</v>
      </c>
      <c r="F41" s="15">
        <f t="shared" si="15"/>
        <v>1136595.1515904765</v>
      </c>
      <c r="G41" s="15">
        <f t="shared" si="15"/>
        <v>1504079.0261795847</v>
      </c>
      <c r="H41" s="15">
        <f t="shared" si="15"/>
        <v>1736895.9107701927</v>
      </c>
      <c r="I41" s="15">
        <f t="shared" si="15"/>
        <v>1868986.9369269756</v>
      </c>
      <c r="J41" s="15">
        <f t="shared" si="15"/>
        <v>1967361.4791063548</v>
      </c>
      <c r="K41" s="15">
        <f t="shared" si="15"/>
        <v>2029060.3201550292</v>
      </c>
      <c r="L41" s="15">
        <f t="shared" si="15"/>
        <v>2041196.2369237386</v>
      </c>
      <c r="M41" s="15" t="e">
        <f t="shared" si="15"/>
        <v>#VALUE!</v>
      </c>
      <c r="N41" s="15" t="e">
        <f t="shared" si="15"/>
        <v>#VALUE!</v>
      </c>
      <c r="O41" s="15" t="e">
        <f t="shared" si="15"/>
        <v>#VALUE!</v>
      </c>
      <c r="P41" s="15" t="e">
        <f t="shared" si="15"/>
        <v>#VALUE!</v>
      </c>
      <c r="Q41" s="15" t="e">
        <f t="shared" si="15"/>
        <v>#VALUE!</v>
      </c>
      <c r="R41" s="15" t="e">
        <f t="shared" si="15"/>
        <v>#VALUE!</v>
      </c>
      <c r="S41" s="15" t="e">
        <f t="shared" si="15"/>
        <v>#VALUE!</v>
      </c>
      <c r="T41" s="15" t="e">
        <f t="shared" si="15"/>
        <v>#VALUE!</v>
      </c>
      <c r="U41" s="15" t="e">
        <f t="shared" si="15"/>
        <v>#VALUE!</v>
      </c>
      <c r="V41" s="15" t="e">
        <f t="shared" si="15"/>
        <v>#VALUE!</v>
      </c>
      <c r="W41" s="15" t="e">
        <f t="shared" si="15"/>
        <v>#VALUE!</v>
      </c>
      <c r="X41" s="15" t="e">
        <f t="shared" si="15"/>
        <v>#VALUE!</v>
      </c>
      <c r="Y41" s="15" t="e">
        <f t="shared" si="15"/>
        <v>#VALUE!</v>
      </c>
      <c r="Z41" s="15" t="e">
        <f t="shared" si="15"/>
        <v>#VALUE!</v>
      </c>
      <c r="AA41" s="15" t="e">
        <f t="shared" si="15"/>
        <v>#VALUE!</v>
      </c>
      <c r="AB41" s="15" t="e">
        <f t="shared" si="15"/>
        <v>#VALUE!</v>
      </c>
    </row>
    <row r="43" spans="1:7" ht="12.75">
      <c r="A43" s="6" t="s">
        <v>16</v>
      </c>
      <c r="G43" s="16"/>
    </row>
    <row r="44" ht="12.75">
      <c r="A44" s="17" t="s">
        <v>32</v>
      </c>
    </row>
    <row r="45" spans="1:28" ht="12.75">
      <c r="A45" t="s">
        <v>39</v>
      </c>
      <c r="C45" s="4">
        <f>(9000*12*CEILING(C29/($B$18/3),1))</f>
        <v>108000</v>
      </c>
      <c r="D45" s="4">
        <f aca="true" t="shared" si="16" ref="D45:AB45">(9000*12*CEILING(D29/($B$18/3),1))</f>
        <v>108000</v>
      </c>
      <c r="E45" s="4">
        <f t="shared" si="16"/>
        <v>216000</v>
      </c>
      <c r="F45" s="4">
        <f t="shared" si="16"/>
        <v>216000</v>
      </c>
      <c r="G45" s="4">
        <f t="shared" si="16"/>
        <v>324000</v>
      </c>
      <c r="H45" s="4">
        <f t="shared" si="16"/>
        <v>324000</v>
      </c>
      <c r="I45" s="4">
        <f t="shared" si="16"/>
        <v>324000</v>
      </c>
      <c r="J45" s="4">
        <f t="shared" si="16"/>
        <v>324000</v>
      </c>
      <c r="K45" s="4">
        <f t="shared" si="16"/>
        <v>324000</v>
      </c>
      <c r="L45" s="4">
        <f t="shared" si="16"/>
        <v>324000</v>
      </c>
      <c r="M45" s="4" t="e">
        <f t="shared" si="16"/>
        <v>#VALUE!</v>
      </c>
      <c r="N45" s="4" t="e">
        <f t="shared" si="16"/>
        <v>#VALUE!</v>
      </c>
      <c r="O45" s="4" t="e">
        <f t="shared" si="16"/>
        <v>#VALUE!</v>
      </c>
      <c r="P45" s="4" t="e">
        <f t="shared" si="16"/>
        <v>#VALUE!</v>
      </c>
      <c r="Q45" s="4" t="e">
        <f t="shared" si="16"/>
        <v>#VALUE!</v>
      </c>
      <c r="R45" s="4" t="e">
        <f t="shared" si="16"/>
        <v>#VALUE!</v>
      </c>
      <c r="S45" s="4" t="e">
        <f t="shared" si="16"/>
        <v>#VALUE!</v>
      </c>
      <c r="T45" s="4" t="e">
        <f t="shared" si="16"/>
        <v>#VALUE!</v>
      </c>
      <c r="U45" s="4" t="e">
        <f t="shared" si="16"/>
        <v>#VALUE!</v>
      </c>
      <c r="V45" s="4" t="e">
        <f t="shared" si="16"/>
        <v>#VALUE!</v>
      </c>
      <c r="W45" s="4" t="e">
        <f t="shared" si="16"/>
        <v>#VALUE!</v>
      </c>
      <c r="X45" s="4" t="e">
        <f t="shared" si="16"/>
        <v>#VALUE!</v>
      </c>
      <c r="Y45" s="4" t="e">
        <f t="shared" si="16"/>
        <v>#VALUE!</v>
      </c>
      <c r="Z45" s="4" t="e">
        <f t="shared" si="16"/>
        <v>#VALUE!</v>
      </c>
      <c r="AA45" s="4" t="e">
        <f t="shared" si="16"/>
        <v>#VALUE!</v>
      </c>
      <c r="AB45" s="4" t="e">
        <f t="shared" si="16"/>
        <v>#VALUE!</v>
      </c>
    </row>
    <row r="46" spans="1:28" ht="12.75">
      <c r="A46" t="s">
        <v>40</v>
      </c>
      <c r="C46" s="4">
        <f>0.5*50*C30</f>
        <v>2308.1558541430377</v>
      </c>
      <c r="D46" s="4">
        <f aca="true" t="shared" si="17" ref="D46:AB46">0.5*50*D30</f>
        <v>11109.138916666117</v>
      </c>
      <c r="E46" s="4">
        <f t="shared" si="17"/>
        <v>31292.65058431165</v>
      </c>
      <c r="F46" s="4">
        <f t="shared" si="17"/>
        <v>61920.59133800629</v>
      </c>
      <c r="G46" s="4">
        <f t="shared" si="17"/>
        <v>90054.36691181564</v>
      </c>
      <c r="H46" s="4">
        <f t="shared" si="17"/>
        <v>105947.07028566881</v>
      </c>
      <c r="I46" s="4">
        <f t="shared" si="17"/>
        <v>112229.6677255813</v>
      </c>
      <c r="J46" s="4">
        <f t="shared" si="17"/>
        <v>114311.54436848564</v>
      </c>
      <c r="K46" s="4">
        <f t="shared" si="17"/>
        <v>114957.90243626728</v>
      </c>
      <c r="L46" s="4">
        <f t="shared" si="17"/>
        <v>115154.39860329202</v>
      </c>
      <c r="M46" s="4" t="e">
        <f t="shared" si="17"/>
        <v>#VALUE!</v>
      </c>
      <c r="N46" s="4" t="e">
        <f t="shared" si="17"/>
        <v>#VALUE!</v>
      </c>
      <c r="O46" s="4" t="e">
        <f t="shared" si="17"/>
        <v>#VALUE!</v>
      </c>
      <c r="P46" s="4" t="e">
        <f t="shared" si="17"/>
        <v>#VALUE!</v>
      </c>
      <c r="Q46" s="4" t="e">
        <f t="shared" si="17"/>
        <v>#VALUE!</v>
      </c>
      <c r="R46" s="4" t="e">
        <f t="shared" si="17"/>
        <v>#VALUE!</v>
      </c>
      <c r="S46" s="4" t="e">
        <f t="shared" si="17"/>
        <v>#VALUE!</v>
      </c>
      <c r="T46" s="4" t="e">
        <f t="shared" si="17"/>
        <v>#VALUE!</v>
      </c>
      <c r="U46" s="4" t="e">
        <f t="shared" si="17"/>
        <v>#VALUE!</v>
      </c>
      <c r="V46" s="4" t="e">
        <f t="shared" si="17"/>
        <v>#VALUE!</v>
      </c>
      <c r="W46" s="4" t="e">
        <f t="shared" si="17"/>
        <v>#VALUE!</v>
      </c>
      <c r="X46" s="4" t="e">
        <f t="shared" si="17"/>
        <v>#VALUE!</v>
      </c>
      <c r="Y46" s="4" t="e">
        <f t="shared" si="17"/>
        <v>#VALUE!</v>
      </c>
      <c r="Z46" s="4" t="e">
        <f t="shared" si="17"/>
        <v>#VALUE!</v>
      </c>
      <c r="AA46" s="4" t="e">
        <f t="shared" si="17"/>
        <v>#VALUE!</v>
      </c>
      <c r="AB46" s="4" t="e">
        <f t="shared" si="17"/>
        <v>#VALUE!</v>
      </c>
    </row>
    <row r="47" spans="1:28" ht="12.75">
      <c r="A47" t="s">
        <v>41</v>
      </c>
      <c r="C47" s="4">
        <f>100*(C29-0)</f>
        <v>18465.2468331443</v>
      </c>
      <c r="D47" s="4">
        <f>100*(D29-C29)</f>
        <v>51942.61766704035</v>
      </c>
      <c r="E47" s="4">
        <f aca="true" t="shared" si="18" ref="E47:AB47">100*(E29-D29)</f>
        <v>109525.47567412394</v>
      </c>
      <c r="F47" s="4">
        <f t="shared" si="18"/>
        <v>135498.05035543322</v>
      </c>
      <c r="G47" s="4">
        <f t="shared" si="18"/>
        <v>89572.15423504163</v>
      </c>
      <c r="H47" s="4">
        <f t="shared" si="18"/>
        <v>37569.47275578359</v>
      </c>
      <c r="I47" s="4">
        <f t="shared" si="18"/>
        <v>12691.30676351624</v>
      </c>
      <c r="J47" s="4">
        <f t="shared" si="18"/>
        <v>3963.7063797187693</v>
      </c>
      <c r="K47" s="4">
        <f t="shared" si="18"/>
        <v>1207.1581625341423</v>
      </c>
      <c r="L47" s="4">
        <f t="shared" si="18"/>
        <v>364.8111736638384</v>
      </c>
      <c r="M47" s="4" t="e">
        <f t="shared" si="18"/>
        <v>#VALUE!</v>
      </c>
      <c r="N47" s="4" t="e">
        <f t="shared" si="18"/>
        <v>#VALUE!</v>
      </c>
      <c r="O47" s="4" t="e">
        <f t="shared" si="18"/>
        <v>#VALUE!</v>
      </c>
      <c r="P47" s="4" t="e">
        <f t="shared" si="18"/>
        <v>#VALUE!</v>
      </c>
      <c r="Q47" s="4" t="e">
        <f t="shared" si="18"/>
        <v>#VALUE!</v>
      </c>
      <c r="R47" s="4" t="e">
        <f t="shared" si="18"/>
        <v>#VALUE!</v>
      </c>
      <c r="S47" s="4" t="e">
        <f t="shared" si="18"/>
        <v>#VALUE!</v>
      </c>
      <c r="T47" s="4" t="e">
        <f t="shared" si="18"/>
        <v>#VALUE!</v>
      </c>
      <c r="U47" s="4" t="e">
        <f t="shared" si="18"/>
        <v>#VALUE!</v>
      </c>
      <c r="V47" s="4" t="e">
        <f t="shared" si="18"/>
        <v>#VALUE!</v>
      </c>
      <c r="W47" s="4" t="e">
        <f t="shared" si="18"/>
        <v>#VALUE!</v>
      </c>
      <c r="X47" s="4" t="e">
        <f t="shared" si="18"/>
        <v>#VALUE!</v>
      </c>
      <c r="Y47" s="4" t="e">
        <f t="shared" si="18"/>
        <v>#VALUE!</v>
      </c>
      <c r="Z47" s="4" t="e">
        <f t="shared" si="18"/>
        <v>#VALUE!</v>
      </c>
      <c r="AA47" s="4" t="e">
        <f t="shared" si="18"/>
        <v>#VALUE!</v>
      </c>
      <c r="AB47" s="4" t="e">
        <f t="shared" si="18"/>
        <v>#VALUE!</v>
      </c>
    </row>
    <row r="48" spans="1:28" ht="12.75">
      <c r="A48" t="s">
        <v>42</v>
      </c>
      <c r="C48" s="4">
        <f>1*12*C30</f>
        <v>1107.914809988658</v>
      </c>
      <c r="D48" s="4">
        <f aca="true" t="shared" si="19" ref="D48:AB48">1*12*D30</f>
        <v>5332.386679999736</v>
      </c>
      <c r="E48" s="4">
        <f t="shared" si="19"/>
        <v>15020.472280469592</v>
      </c>
      <c r="F48" s="4">
        <f t="shared" si="19"/>
        <v>29721.88384224302</v>
      </c>
      <c r="G48" s="4">
        <f t="shared" si="19"/>
        <v>43226.09611767151</v>
      </c>
      <c r="H48" s="4">
        <f t="shared" si="19"/>
        <v>50854.59373712103</v>
      </c>
      <c r="I48" s="4">
        <f t="shared" si="19"/>
        <v>53870.24050827902</v>
      </c>
      <c r="J48" s="4">
        <f t="shared" si="19"/>
        <v>54869.54129687311</v>
      </c>
      <c r="K48" s="4">
        <f t="shared" si="19"/>
        <v>55179.793169408294</v>
      </c>
      <c r="L48" s="4">
        <f t="shared" si="19"/>
        <v>55274.11132958017</v>
      </c>
      <c r="M48" s="4" t="e">
        <f t="shared" si="19"/>
        <v>#VALUE!</v>
      </c>
      <c r="N48" s="4" t="e">
        <f t="shared" si="19"/>
        <v>#VALUE!</v>
      </c>
      <c r="O48" s="4" t="e">
        <f t="shared" si="19"/>
        <v>#VALUE!</v>
      </c>
      <c r="P48" s="4" t="e">
        <f t="shared" si="19"/>
        <v>#VALUE!</v>
      </c>
      <c r="Q48" s="4" t="e">
        <f t="shared" si="19"/>
        <v>#VALUE!</v>
      </c>
      <c r="R48" s="4" t="e">
        <f t="shared" si="19"/>
        <v>#VALUE!</v>
      </c>
      <c r="S48" s="4" t="e">
        <f t="shared" si="19"/>
        <v>#VALUE!</v>
      </c>
      <c r="T48" s="4" t="e">
        <f t="shared" si="19"/>
        <v>#VALUE!</v>
      </c>
      <c r="U48" s="4" t="e">
        <f t="shared" si="19"/>
        <v>#VALUE!</v>
      </c>
      <c r="V48" s="4" t="e">
        <f t="shared" si="19"/>
        <v>#VALUE!</v>
      </c>
      <c r="W48" s="4" t="e">
        <f t="shared" si="19"/>
        <v>#VALUE!</v>
      </c>
      <c r="X48" s="4" t="e">
        <f t="shared" si="19"/>
        <v>#VALUE!</v>
      </c>
      <c r="Y48" s="4" t="e">
        <f t="shared" si="19"/>
        <v>#VALUE!</v>
      </c>
      <c r="Z48" s="4" t="e">
        <f t="shared" si="19"/>
        <v>#VALUE!</v>
      </c>
      <c r="AA48" s="4" t="e">
        <f t="shared" si="19"/>
        <v>#VALUE!</v>
      </c>
      <c r="AB48" s="4" t="e">
        <f t="shared" si="19"/>
        <v>#VALUE!</v>
      </c>
    </row>
    <row r="49" spans="1:28" ht="12.75">
      <c r="A49" t="s">
        <v>43</v>
      </c>
      <c r="C49" s="4">
        <f>10*C30</f>
        <v>923.2623416572151</v>
      </c>
      <c r="D49" s="4">
        <f aca="true" t="shared" si="20" ref="D49:AB49">10*D30</f>
        <v>4443.655566666447</v>
      </c>
      <c r="E49" s="4">
        <f t="shared" si="20"/>
        <v>12517.06023372466</v>
      </c>
      <c r="F49" s="4">
        <f t="shared" si="20"/>
        <v>24768.23653520252</v>
      </c>
      <c r="G49" s="4">
        <f t="shared" si="20"/>
        <v>36021.74676472626</v>
      </c>
      <c r="H49" s="4">
        <f t="shared" si="20"/>
        <v>42378.828114267526</v>
      </c>
      <c r="I49" s="4">
        <f t="shared" si="20"/>
        <v>44891.86709023252</v>
      </c>
      <c r="J49" s="4">
        <f t="shared" si="20"/>
        <v>45724.61774739426</v>
      </c>
      <c r="K49" s="4">
        <f t="shared" si="20"/>
        <v>45983.16097450691</v>
      </c>
      <c r="L49" s="4">
        <f t="shared" si="20"/>
        <v>46061.75944131681</v>
      </c>
      <c r="M49" s="4" t="e">
        <f t="shared" si="20"/>
        <v>#VALUE!</v>
      </c>
      <c r="N49" s="4" t="e">
        <f t="shared" si="20"/>
        <v>#VALUE!</v>
      </c>
      <c r="O49" s="4" t="e">
        <f t="shared" si="20"/>
        <v>#VALUE!</v>
      </c>
      <c r="P49" s="4" t="e">
        <f t="shared" si="20"/>
        <v>#VALUE!</v>
      </c>
      <c r="Q49" s="4" t="e">
        <f t="shared" si="20"/>
        <v>#VALUE!</v>
      </c>
      <c r="R49" s="4" t="e">
        <f t="shared" si="20"/>
        <v>#VALUE!</v>
      </c>
      <c r="S49" s="4" t="e">
        <f t="shared" si="20"/>
        <v>#VALUE!</v>
      </c>
      <c r="T49" s="4" t="e">
        <f t="shared" si="20"/>
        <v>#VALUE!</v>
      </c>
      <c r="U49" s="4" t="e">
        <f t="shared" si="20"/>
        <v>#VALUE!</v>
      </c>
      <c r="V49" s="4" t="e">
        <f t="shared" si="20"/>
        <v>#VALUE!</v>
      </c>
      <c r="W49" s="4" t="e">
        <f t="shared" si="20"/>
        <v>#VALUE!</v>
      </c>
      <c r="X49" s="4" t="e">
        <f t="shared" si="20"/>
        <v>#VALUE!</v>
      </c>
      <c r="Y49" s="4" t="e">
        <f t="shared" si="20"/>
        <v>#VALUE!</v>
      </c>
      <c r="Z49" s="4" t="e">
        <f t="shared" si="20"/>
        <v>#VALUE!</v>
      </c>
      <c r="AA49" s="4" t="e">
        <f t="shared" si="20"/>
        <v>#VALUE!</v>
      </c>
      <c r="AB49" s="4" t="e">
        <f t="shared" si="20"/>
        <v>#VALUE!</v>
      </c>
    </row>
    <row r="50" spans="1:28" ht="12.75">
      <c r="A50" t="s">
        <v>44</v>
      </c>
      <c r="C50" s="4">
        <f aca="true" t="shared" si="21" ref="C50:AB50">0.1*SUM($C$107:$C$110)</f>
        <v>18000</v>
      </c>
      <c r="D50" s="4">
        <f t="shared" si="21"/>
        <v>18000</v>
      </c>
      <c r="E50" s="4">
        <f t="shared" si="21"/>
        <v>18000</v>
      </c>
      <c r="F50" s="4">
        <f t="shared" si="21"/>
        <v>18000</v>
      </c>
      <c r="G50" s="4">
        <f t="shared" si="21"/>
        <v>18000</v>
      </c>
      <c r="H50" s="4">
        <f t="shared" si="21"/>
        <v>18000</v>
      </c>
      <c r="I50" s="4">
        <f t="shared" si="21"/>
        <v>18000</v>
      </c>
      <c r="J50" s="4">
        <f t="shared" si="21"/>
        <v>18000</v>
      </c>
      <c r="K50" s="4">
        <f t="shared" si="21"/>
        <v>18000</v>
      </c>
      <c r="L50" s="4">
        <f t="shared" si="21"/>
        <v>18000</v>
      </c>
      <c r="M50" s="4">
        <f t="shared" si="21"/>
        <v>18000</v>
      </c>
      <c r="N50" s="4">
        <f t="shared" si="21"/>
        <v>18000</v>
      </c>
      <c r="O50" s="4">
        <f t="shared" si="21"/>
        <v>18000</v>
      </c>
      <c r="P50" s="4">
        <f t="shared" si="21"/>
        <v>18000</v>
      </c>
      <c r="Q50" s="4">
        <f t="shared" si="21"/>
        <v>18000</v>
      </c>
      <c r="R50" s="4">
        <f t="shared" si="21"/>
        <v>18000</v>
      </c>
      <c r="S50" s="4">
        <f t="shared" si="21"/>
        <v>18000</v>
      </c>
      <c r="T50" s="4">
        <f t="shared" si="21"/>
        <v>18000</v>
      </c>
      <c r="U50" s="4">
        <f t="shared" si="21"/>
        <v>18000</v>
      </c>
      <c r="V50" s="4">
        <f t="shared" si="21"/>
        <v>18000</v>
      </c>
      <c r="W50" s="4">
        <f t="shared" si="21"/>
        <v>18000</v>
      </c>
      <c r="X50" s="4">
        <f t="shared" si="21"/>
        <v>18000</v>
      </c>
      <c r="Y50" s="4">
        <f t="shared" si="21"/>
        <v>18000</v>
      </c>
      <c r="Z50" s="4">
        <f t="shared" si="21"/>
        <v>18000</v>
      </c>
      <c r="AA50" s="4">
        <f t="shared" si="21"/>
        <v>18000</v>
      </c>
      <c r="AB50" s="4">
        <f t="shared" si="21"/>
        <v>18000</v>
      </c>
    </row>
    <row r="51" spans="1:28" ht="12.75">
      <c r="A51" t="s">
        <v>47</v>
      </c>
      <c r="C51" s="4">
        <f>0.15*$B$14*C30</f>
        <v>692.4467562429113</v>
      </c>
      <c r="D51" s="4">
        <f aca="true" t="shared" si="22" ref="D51:AB51">0.15*$B$14*D30</f>
        <v>3332.741674999835</v>
      </c>
      <c r="E51" s="4">
        <f t="shared" si="22"/>
        <v>9387.795175293495</v>
      </c>
      <c r="F51" s="4">
        <f t="shared" si="22"/>
        <v>18576.17740140189</v>
      </c>
      <c r="G51" s="4">
        <f t="shared" si="22"/>
        <v>27016.310073544693</v>
      </c>
      <c r="H51" s="4">
        <f t="shared" si="22"/>
        <v>31784.121085700644</v>
      </c>
      <c r="I51" s="4">
        <f t="shared" si="22"/>
        <v>33668.900317674386</v>
      </c>
      <c r="J51" s="4">
        <f t="shared" si="22"/>
        <v>34293.463310545696</v>
      </c>
      <c r="K51" s="4">
        <f t="shared" si="22"/>
        <v>34487.37073088018</v>
      </c>
      <c r="L51" s="4">
        <f t="shared" si="22"/>
        <v>34546.319580987605</v>
      </c>
      <c r="M51" s="4" t="e">
        <f t="shared" si="22"/>
        <v>#VALUE!</v>
      </c>
      <c r="N51" s="4" t="e">
        <f t="shared" si="22"/>
        <v>#VALUE!</v>
      </c>
      <c r="O51" s="4" t="e">
        <f t="shared" si="22"/>
        <v>#VALUE!</v>
      </c>
      <c r="P51" s="4" t="e">
        <f t="shared" si="22"/>
        <v>#VALUE!</v>
      </c>
      <c r="Q51" s="4" t="e">
        <f t="shared" si="22"/>
        <v>#VALUE!</v>
      </c>
      <c r="R51" s="4" t="e">
        <f t="shared" si="22"/>
        <v>#VALUE!</v>
      </c>
      <c r="S51" s="4" t="e">
        <f t="shared" si="22"/>
        <v>#VALUE!</v>
      </c>
      <c r="T51" s="4" t="e">
        <f t="shared" si="22"/>
        <v>#VALUE!</v>
      </c>
      <c r="U51" s="4" t="e">
        <f t="shared" si="22"/>
        <v>#VALUE!</v>
      </c>
      <c r="V51" s="4" t="e">
        <f t="shared" si="22"/>
        <v>#VALUE!</v>
      </c>
      <c r="W51" s="4" t="e">
        <f t="shared" si="22"/>
        <v>#VALUE!</v>
      </c>
      <c r="X51" s="4" t="e">
        <f t="shared" si="22"/>
        <v>#VALUE!</v>
      </c>
      <c r="Y51" s="4" t="e">
        <f t="shared" si="22"/>
        <v>#VALUE!</v>
      </c>
      <c r="Z51" s="4" t="e">
        <f t="shared" si="22"/>
        <v>#VALUE!</v>
      </c>
      <c r="AA51" s="4" t="e">
        <f t="shared" si="22"/>
        <v>#VALUE!</v>
      </c>
      <c r="AB51" s="4" t="e">
        <f t="shared" si="22"/>
        <v>#VALUE!</v>
      </c>
    </row>
    <row r="52" spans="1:28" ht="12.75">
      <c r="A52" t="s">
        <v>36</v>
      </c>
      <c r="C52" s="4">
        <f>($B$12*(1/(1+$B$21))*(C29-0))*(1+$B$15)^(C24-1)*$B$19^(C24-1)</f>
        <v>27767.288470893684</v>
      </c>
      <c r="D52" s="4">
        <f>($B$12*(1/(1+$B$21))*(D29-C29))*(1+$B$15)^(D24-1)*$B$19^(D24-1)</f>
        <v>51786.39926804173</v>
      </c>
      <c r="E52" s="4">
        <f aca="true" t="shared" si="23" ref="E52:AB52">($B$12*(1/(1+$B$21))*(E29-D29))*(1+$B$15)^(E24-1)*$B$19^(E24-1)</f>
        <v>72396.99822044959</v>
      </c>
      <c r="F52" s="4">
        <f t="shared" si="23"/>
        <v>59381.61244406581</v>
      </c>
      <c r="G52" s="4">
        <f t="shared" si="23"/>
        <v>26025.88386805825</v>
      </c>
      <c r="H52" s="4">
        <f t="shared" si="23"/>
        <v>7237.375351663281</v>
      </c>
      <c r="I52" s="4">
        <f t="shared" si="23"/>
        <v>1620.935996189069</v>
      </c>
      <c r="J52" s="4">
        <f t="shared" si="23"/>
        <v>335.6406312525622</v>
      </c>
      <c r="K52" s="4">
        <f t="shared" si="23"/>
        <v>67.7720710181887</v>
      </c>
      <c r="L52" s="4">
        <f t="shared" si="23"/>
        <v>13.579014186466908</v>
      </c>
      <c r="M52" s="4" t="e">
        <f t="shared" si="23"/>
        <v>#VALUE!</v>
      </c>
      <c r="N52" s="4" t="e">
        <f t="shared" si="23"/>
        <v>#VALUE!</v>
      </c>
      <c r="O52" s="4" t="e">
        <f t="shared" si="23"/>
        <v>#VALUE!</v>
      </c>
      <c r="P52" s="4" t="e">
        <f t="shared" si="23"/>
        <v>#VALUE!</v>
      </c>
      <c r="Q52" s="4" t="e">
        <f t="shared" si="23"/>
        <v>#VALUE!</v>
      </c>
      <c r="R52" s="4" t="e">
        <f t="shared" si="23"/>
        <v>#VALUE!</v>
      </c>
      <c r="S52" s="4" t="e">
        <f t="shared" si="23"/>
        <v>#VALUE!</v>
      </c>
      <c r="T52" s="4" t="e">
        <f t="shared" si="23"/>
        <v>#VALUE!</v>
      </c>
      <c r="U52" s="4" t="e">
        <f t="shared" si="23"/>
        <v>#VALUE!</v>
      </c>
      <c r="V52" s="4" t="e">
        <f t="shared" si="23"/>
        <v>#VALUE!</v>
      </c>
      <c r="W52" s="4" t="e">
        <f t="shared" si="23"/>
        <v>#VALUE!</v>
      </c>
      <c r="X52" s="4" t="e">
        <f t="shared" si="23"/>
        <v>#VALUE!</v>
      </c>
      <c r="Y52" s="4" t="e">
        <f t="shared" si="23"/>
        <v>#VALUE!</v>
      </c>
      <c r="Z52" s="4" t="e">
        <f t="shared" si="23"/>
        <v>#VALUE!</v>
      </c>
      <c r="AA52" s="4" t="e">
        <f t="shared" si="23"/>
        <v>#VALUE!</v>
      </c>
      <c r="AB52" s="4" t="e">
        <f t="shared" si="23"/>
        <v>#VALUE!</v>
      </c>
    </row>
    <row r="53" spans="1:28" s="10" customFormat="1" ht="12.75">
      <c r="A53" s="10" t="s">
        <v>37</v>
      </c>
      <c r="C53" s="11">
        <f>$B$13*(1/(1+$B$21))*(C29-0)*(1+$B$15)^(C24-1)*$B$19^(C24-1)</f>
        <v>13883.644235446842</v>
      </c>
      <c r="D53" s="11">
        <f>$B$13*(1/(1+$B$21))*(D29-C29)*(1+$B$15)^(D24-1)*$B$19^(D24-1)</f>
        <v>25893.199634020864</v>
      </c>
      <c r="E53" s="11">
        <f aca="true" t="shared" si="24" ref="E53:AB53">$B$13*(1/(1+$B$21))*(E29-D29)*(1+$B$15)^(E24-1)*$B$19^(E24-1)</f>
        <v>36198.499110224795</v>
      </c>
      <c r="F53" s="11">
        <f t="shared" si="24"/>
        <v>29690.806222032905</v>
      </c>
      <c r="G53" s="11">
        <f t="shared" si="24"/>
        <v>13012.941934029124</v>
      </c>
      <c r="H53" s="11">
        <f t="shared" si="24"/>
        <v>3618.6876758316407</v>
      </c>
      <c r="I53" s="11">
        <f t="shared" si="24"/>
        <v>810.4679980945346</v>
      </c>
      <c r="J53" s="11">
        <f t="shared" si="24"/>
        <v>167.8203156262811</v>
      </c>
      <c r="K53" s="11">
        <f t="shared" si="24"/>
        <v>33.88603550909435</v>
      </c>
      <c r="L53" s="11">
        <f t="shared" si="24"/>
        <v>6.789507093233454</v>
      </c>
      <c r="M53" s="11" t="e">
        <f t="shared" si="24"/>
        <v>#VALUE!</v>
      </c>
      <c r="N53" s="11" t="e">
        <f t="shared" si="24"/>
        <v>#VALUE!</v>
      </c>
      <c r="O53" s="11" t="e">
        <f t="shared" si="24"/>
        <v>#VALUE!</v>
      </c>
      <c r="P53" s="11" t="e">
        <f t="shared" si="24"/>
        <v>#VALUE!</v>
      </c>
      <c r="Q53" s="11" t="e">
        <f t="shared" si="24"/>
        <v>#VALUE!</v>
      </c>
      <c r="R53" s="11" t="e">
        <f t="shared" si="24"/>
        <v>#VALUE!</v>
      </c>
      <c r="S53" s="11" t="e">
        <f t="shared" si="24"/>
        <v>#VALUE!</v>
      </c>
      <c r="T53" s="11" t="e">
        <f t="shared" si="24"/>
        <v>#VALUE!</v>
      </c>
      <c r="U53" s="11" t="e">
        <f t="shared" si="24"/>
        <v>#VALUE!</v>
      </c>
      <c r="V53" s="11" t="e">
        <f t="shared" si="24"/>
        <v>#VALUE!</v>
      </c>
      <c r="W53" s="11" t="e">
        <f t="shared" si="24"/>
        <v>#VALUE!</v>
      </c>
      <c r="X53" s="11" t="e">
        <f t="shared" si="24"/>
        <v>#VALUE!</v>
      </c>
      <c r="Y53" s="11" t="e">
        <f t="shared" si="24"/>
        <v>#VALUE!</v>
      </c>
      <c r="Z53" s="11" t="e">
        <f t="shared" si="24"/>
        <v>#VALUE!</v>
      </c>
      <c r="AA53" s="11" t="e">
        <f t="shared" si="24"/>
        <v>#VALUE!</v>
      </c>
      <c r="AB53" s="11" t="e">
        <f t="shared" si="24"/>
        <v>#VALUE!</v>
      </c>
    </row>
    <row r="54" spans="1:28" s="10" customFormat="1" ht="12.75">
      <c r="A54" s="10" t="s">
        <v>25</v>
      </c>
      <c r="C54" s="11">
        <f aca="true" t="shared" si="25" ref="C54:AB54">C37+C40</f>
        <v>9232.62341657215</v>
      </c>
      <c r="D54" s="11">
        <f t="shared" si="25"/>
        <v>26490.73501019058</v>
      </c>
      <c r="E54" s="11">
        <f t="shared" si="25"/>
        <v>56975.152445679276</v>
      </c>
      <c r="F54" s="11">
        <f t="shared" si="25"/>
        <v>71895.80751079429</v>
      </c>
      <c r="G54" s="11">
        <f t="shared" si="25"/>
        <v>48477.890192244624</v>
      </c>
      <c r="H54" s="11">
        <f t="shared" si="25"/>
        <v>30933.42910541514</v>
      </c>
      <c r="I54" s="11">
        <f t="shared" si="25"/>
        <v>36979.10659136927</v>
      </c>
      <c r="J54" s="11">
        <f t="shared" si="25"/>
        <v>67723.06738106108</v>
      </c>
      <c r="K54" s="11">
        <f t="shared" si="25"/>
        <v>84944.58641749856</v>
      </c>
      <c r="L54" s="11">
        <f t="shared" si="25"/>
        <v>58153.557872537975</v>
      </c>
      <c r="M54" s="11" t="e">
        <f t="shared" si="25"/>
        <v>#VALUE!</v>
      </c>
      <c r="N54" s="11" t="e">
        <f t="shared" si="25"/>
        <v>#VALUE!</v>
      </c>
      <c r="O54" s="11" t="e">
        <f t="shared" si="25"/>
        <v>#VALUE!</v>
      </c>
      <c r="P54" s="11" t="e">
        <f t="shared" si="25"/>
        <v>#VALUE!</v>
      </c>
      <c r="Q54" s="11" t="e">
        <f t="shared" si="25"/>
        <v>#VALUE!</v>
      </c>
      <c r="R54" s="11" t="e">
        <f t="shared" si="25"/>
        <v>#VALUE!</v>
      </c>
      <c r="S54" s="11" t="e">
        <f t="shared" si="25"/>
        <v>#VALUE!</v>
      </c>
      <c r="T54" s="11" t="e">
        <f t="shared" si="25"/>
        <v>#VALUE!</v>
      </c>
      <c r="U54" s="11" t="e">
        <f t="shared" si="25"/>
        <v>#VALUE!</v>
      </c>
      <c r="V54" s="11" t="e">
        <f t="shared" si="25"/>
        <v>#VALUE!</v>
      </c>
      <c r="W54" s="11" t="e">
        <f t="shared" si="25"/>
        <v>#VALUE!</v>
      </c>
      <c r="X54" s="11" t="e">
        <f t="shared" si="25"/>
        <v>#VALUE!</v>
      </c>
      <c r="Y54" s="11" t="e">
        <f t="shared" si="25"/>
        <v>#VALUE!</v>
      </c>
      <c r="Z54" s="11" t="e">
        <f t="shared" si="25"/>
        <v>#VALUE!</v>
      </c>
      <c r="AA54" s="11" t="e">
        <f t="shared" si="25"/>
        <v>#VALUE!</v>
      </c>
      <c r="AB54" s="11" t="e">
        <f t="shared" si="25"/>
        <v>#VALUE!</v>
      </c>
    </row>
    <row r="55" spans="1:28" s="10" customFormat="1" ht="12.75">
      <c r="A55" s="10" t="s">
        <v>33</v>
      </c>
      <c r="C55" s="11">
        <f aca="true" t="shared" si="26" ref="C55:AB55">(1+$B$15)^(C24-1)*$B$19^(C24-1)*IF($B$17-C24&lt;0,INDEX($C$52:$AB$52,1,COLUMN(C24)-$B$17-2),0)</f>
        <v>0</v>
      </c>
      <c r="D55" s="11">
        <f t="shared" si="26"/>
        <v>0</v>
      </c>
      <c r="E55" s="11">
        <f t="shared" si="26"/>
        <v>0</v>
      </c>
      <c r="F55" s="11">
        <f t="shared" si="26"/>
        <v>0</v>
      </c>
      <c r="G55" s="11">
        <f t="shared" si="26"/>
        <v>0</v>
      </c>
      <c r="H55" s="11">
        <f t="shared" si="26"/>
        <v>3557.141276942833</v>
      </c>
      <c r="I55" s="11">
        <f t="shared" si="26"/>
        <v>4398.421909322376</v>
      </c>
      <c r="J55" s="11">
        <f t="shared" si="26"/>
        <v>4076.7610625022016</v>
      </c>
      <c r="K55" s="11">
        <f t="shared" si="26"/>
        <v>2216.972027463945</v>
      </c>
      <c r="L55" s="11">
        <f t="shared" si="26"/>
        <v>644.2096753847271</v>
      </c>
      <c r="M55" s="11" t="e">
        <f t="shared" si="26"/>
        <v>#VALUE!</v>
      </c>
      <c r="N55" s="11" t="e">
        <f t="shared" si="26"/>
        <v>#VALUE!</v>
      </c>
      <c r="O55" s="11" t="e">
        <f t="shared" si="26"/>
        <v>#VALUE!</v>
      </c>
      <c r="P55" s="11" t="e">
        <f t="shared" si="26"/>
        <v>#VALUE!</v>
      </c>
      <c r="Q55" s="11" t="e">
        <f t="shared" si="26"/>
        <v>#VALUE!</v>
      </c>
      <c r="R55" s="11" t="e">
        <f t="shared" si="26"/>
        <v>#VALUE!</v>
      </c>
      <c r="S55" s="11" t="e">
        <f t="shared" si="26"/>
        <v>#VALUE!</v>
      </c>
      <c r="T55" s="11" t="e">
        <f t="shared" si="26"/>
        <v>#VALUE!</v>
      </c>
      <c r="U55" s="11" t="e">
        <f t="shared" si="26"/>
        <v>#VALUE!</v>
      </c>
      <c r="V55" s="11" t="e">
        <f t="shared" si="26"/>
        <v>#VALUE!</v>
      </c>
      <c r="W55" s="11" t="e">
        <f t="shared" si="26"/>
        <v>#VALUE!</v>
      </c>
      <c r="X55" s="11" t="e">
        <f t="shared" si="26"/>
        <v>#VALUE!</v>
      </c>
      <c r="Y55" s="11" t="e">
        <f t="shared" si="26"/>
        <v>#VALUE!</v>
      </c>
      <c r="Z55" s="11" t="e">
        <f t="shared" si="26"/>
        <v>#VALUE!</v>
      </c>
      <c r="AA55" s="11" t="e">
        <f t="shared" si="26"/>
        <v>#VALUE!</v>
      </c>
      <c r="AB55" s="11" t="e">
        <f t="shared" si="26"/>
        <v>#VALUE!</v>
      </c>
    </row>
    <row r="56" spans="1:28" s="10" customFormat="1" ht="12.75">
      <c r="A56" t="s">
        <v>34</v>
      </c>
      <c r="C56" s="11">
        <f aca="true" t="shared" si="27" ref="C56:AB56">(1+$B$15)^(C24-1)*$B$19^(C24-1)*IF($B$17-C24&lt;0,INDEX($C$53:$AB$53,1,COLUMN(C24)-$B$17-2),0)</f>
        <v>0</v>
      </c>
      <c r="D56" s="11">
        <f t="shared" si="27"/>
        <v>0</v>
      </c>
      <c r="E56" s="11">
        <f t="shared" si="27"/>
        <v>0</v>
      </c>
      <c r="F56" s="11">
        <f t="shared" si="27"/>
        <v>0</v>
      </c>
      <c r="G56" s="11">
        <f t="shared" si="27"/>
        <v>0</v>
      </c>
      <c r="H56" s="11">
        <f t="shared" si="27"/>
        <v>1778.5706384714165</v>
      </c>
      <c r="I56" s="11">
        <f t="shared" si="27"/>
        <v>2199.210954661188</v>
      </c>
      <c r="J56" s="11">
        <f t="shared" si="27"/>
        <v>2038.3805312511008</v>
      </c>
      <c r="K56" s="11">
        <f t="shared" si="27"/>
        <v>1108.4860137319724</v>
      </c>
      <c r="L56" s="11">
        <f t="shared" si="27"/>
        <v>322.10483769236356</v>
      </c>
      <c r="M56" s="11" t="e">
        <f t="shared" si="27"/>
        <v>#VALUE!</v>
      </c>
      <c r="N56" s="11" t="e">
        <f t="shared" si="27"/>
        <v>#VALUE!</v>
      </c>
      <c r="O56" s="11" t="e">
        <f t="shared" si="27"/>
        <v>#VALUE!</v>
      </c>
      <c r="P56" s="11" t="e">
        <f t="shared" si="27"/>
        <v>#VALUE!</v>
      </c>
      <c r="Q56" s="11" t="e">
        <f t="shared" si="27"/>
        <v>#VALUE!</v>
      </c>
      <c r="R56" s="11" t="e">
        <f t="shared" si="27"/>
        <v>#VALUE!</v>
      </c>
      <c r="S56" s="11" t="e">
        <f t="shared" si="27"/>
        <v>#VALUE!</v>
      </c>
      <c r="T56" s="11" t="e">
        <f t="shared" si="27"/>
        <v>#VALUE!</v>
      </c>
      <c r="U56" s="11" t="e">
        <f t="shared" si="27"/>
        <v>#VALUE!</v>
      </c>
      <c r="V56" s="11" t="e">
        <f t="shared" si="27"/>
        <v>#VALUE!</v>
      </c>
      <c r="W56" s="11" t="e">
        <f t="shared" si="27"/>
        <v>#VALUE!</v>
      </c>
      <c r="X56" s="11" t="e">
        <f t="shared" si="27"/>
        <v>#VALUE!</v>
      </c>
      <c r="Y56" s="11" t="e">
        <f t="shared" si="27"/>
        <v>#VALUE!</v>
      </c>
      <c r="Z56" s="11" t="e">
        <f t="shared" si="27"/>
        <v>#VALUE!</v>
      </c>
      <c r="AA56" s="11" t="e">
        <f t="shared" si="27"/>
        <v>#VALUE!</v>
      </c>
      <c r="AB56" s="11" t="e">
        <f t="shared" si="27"/>
        <v>#VALUE!</v>
      </c>
    </row>
    <row r="57" spans="1:28" s="10" customFormat="1" ht="12.75">
      <c r="A57" s="10" t="s">
        <v>35</v>
      </c>
      <c r="C57" s="11">
        <f aca="true" t="shared" si="28" ref="C57:AB57">(1+$B$15)^(C24-1)*IF($B$17-C24&lt;0,INDEX($C$54:$AB$54,1,COLUMN(C24)-$B$17-2),0)</f>
        <v>0</v>
      </c>
      <c r="D57" s="11">
        <f t="shared" si="28"/>
        <v>0</v>
      </c>
      <c r="E57" s="11">
        <f t="shared" si="28"/>
        <v>0</v>
      </c>
      <c r="F57" s="11">
        <f t="shared" si="28"/>
        <v>0</v>
      </c>
      <c r="G57" s="11">
        <f t="shared" si="28"/>
        <v>0</v>
      </c>
      <c r="H57" s="11">
        <f t="shared" si="28"/>
        <v>10193.56227741211</v>
      </c>
      <c r="I57" s="11">
        <f t="shared" si="28"/>
        <v>29832.870227157768</v>
      </c>
      <c r="J57" s="11">
        <f t="shared" si="28"/>
        <v>65446.5410264846</v>
      </c>
      <c r="K57" s="11">
        <f t="shared" si="28"/>
        <v>84237.39732475526</v>
      </c>
      <c r="L57" s="11">
        <f t="shared" si="28"/>
        <v>57935.566311239956</v>
      </c>
      <c r="M57" s="11" t="e">
        <f t="shared" si="28"/>
        <v>#VALUE!</v>
      </c>
      <c r="N57" s="11" t="e">
        <f t="shared" si="28"/>
        <v>#VALUE!</v>
      </c>
      <c r="O57" s="11" t="e">
        <f t="shared" si="28"/>
        <v>#VALUE!</v>
      </c>
      <c r="P57" s="11" t="e">
        <f t="shared" si="28"/>
        <v>#VALUE!</v>
      </c>
      <c r="Q57" s="11" t="e">
        <f t="shared" si="28"/>
        <v>#VALUE!</v>
      </c>
      <c r="R57" s="11" t="e">
        <f t="shared" si="28"/>
        <v>#VALUE!</v>
      </c>
      <c r="S57" s="11" t="e">
        <f t="shared" si="28"/>
        <v>#VALUE!</v>
      </c>
      <c r="T57" s="11" t="e">
        <f t="shared" si="28"/>
        <v>#VALUE!</v>
      </c>
      <c r="U57" s="11" t="e">
        <f t="shared" si="28"/>
        <v>#VALUE!</v>
      </c>
      <c r="V57" s="11" t="e">
        <f t="shared" si="28"/>
        <v>#VALUE!</v>
      </c>
      <c r="W57" s="11" t="e">
        <f t="shared" si="28"/>
        <v>#VALUE!</v>
      </c>
      <c r="X57" s="11" t="e">
        <f t="shared" si="28"/>
        <v>#VALUE!</v>
      </c>
      <c r="Y57" s="11" t="e">
        <f t="shared" si="28"/>
        <v>#VALUE!</v>
      </c>
      <c r="Z57" s="11" t="e">
        <f t="shared" si="28"/>
        <v>#VALUE!</v>
      </c>
      <c r="AA57" s="11" t="e">
        <f t="shared" si="28"/>
        <v>#VALUE!</v>
      </c>
      <c r="AB57" s="11" t="e">
        <f t="shared" si="28"/>
        <v>#VALUE!</v>
      </c>
    </row>
    <row r="58" spans="1:28" s="14" customFormat="1" ht="12.75">
      <c r="A58" s="14" t="s">
        <v>51</v>
      </c>
      <c r="C58" s="15">
        <f>SUM(C45:C57)</f>
        <v>200380.5827180888</v>
      </c>
      <c r="D58" s="15">
        <f aca="true" t="shared" si="29" ref="D58:AB58">SUM(D45:D57)</f>
        <v>306330.87441762566</v>
      </c>
      <c r="E58" s="15">
        <f t="shared" si="29"/>
        <v>577314.103724277</v>
      </c>
      <c r="F58" s="15">
        <f t="shared" si="29"/>
        <v>665453.16564918</v>
      </c>
      <c r="G58" s="15">
        <f t="shared" si="29"/>
        <v>715407.3900971317</v>
      </c>
      <c r="H58" s="15">
        <f t="shared" si="29"/>
        <v>667852.852304278</v>
      </c>
      <c r="I58" s="15">
        <f t="shared" si="29"/>
        <v>675192.9960820775</v>
      </c>
      <c r="J58" s="15">
        <f t="shared" si="29"/>
        <v>734951.0840511952</v>
      </c>
      <c r="K58" s="15">
        <f t="shared" si="29"/>
        <v>766424.4853635738</v>
      </c>
      <c r="L58" s="15">
        <f t="shared" si="29"/>
        <v>710477.2073469751</v>
      </c>
      <c r="M58" s="15" t="e">
        <f t="shared" si="29"/>
        <v>#VALUE!</v>
      </c>
      <c r="N58" s="15" t="e">
        <f t="shared" si="29"/>
        <v>#VALUE!</v>
      </c>
      <c r="O58" s="15" t="e">
        <f t="shared" si="29"/>
        <v>#VALUE!</v>
      </c>
      <c r="P58" s="15" t="e">
        <f t="shared" si="29"/>
        <v>#VALUE!</v>
      </c>
      <c r="Q58" s="15" t="e">
        <f t="shared" si="29"/>
        <v>#VALUE!</v>
      </c>
      <c r="R58" s="15" t="e">
        <f t="shared" si="29"/>
        <v>#VALUE!</v>
      </c>
      <c r="S58" s="15" t="e">
        <f t="shared" si="29"/>
        <v>#VALUE!</v>
      </c>
      <c r="T58" s="15" t="e">
        <f t="shared" si="29"/>
        <v>#VALUE!</v>
      </c>
      <c r="U58" s="15" t="e">
        <f t="shared" si="29"/>
        <v>#VALUE!</v>
      </c>
      <c r="V58" s="15" t="e">
        <f t="shared" si="29"/>
        <v>#VALUE!</v>
      </c>
      <c r="W58" s="15" t="e">
        <f t="shared" si="29"/>
        <v>#VALUE!</v>
      </c>
      <c r="X58" s="15" t="e">
        <f t="shared" si="29"/>
        <v>#VALUE!</v>
      </c>
      <c r="Y58" s="15" t="e">
        <f t="shared" si="29"/>
        <v>#VALUE!</v>
      </c>
      <c r="Z58" s="15" t="e">
        <f t="shared" si="29"/>
        <v>#VALUE!</v>
      </c>
      <c r="AA58" s="15" t="e">
        <f t="shared" si="29"/>
        <v>#VALUE!</v>
      </c>
      <c r="AB58" s="15" t="e">
        <f t="shared" si="29"/>
        <v>#VALUE!</v>
      </c>
    </row>
    <row r="60" ht="12.75">
      <c r="A60" s="17" t="s">
        <v>45</v>
      </c>
    </row>
    <row r="61" spans="1:28" ht="12.75">
      <c r="A61" s="10" t="s">
        <v>48</v>
      </c>
      <c r="C61" s="4">
        <f>SUM(C62:C62)</f>
        <v>36000</v>
      </c>
      <c r="D61" s="4">
        <f ca="1">SUM(D62:OFFSET(D62,C24,0,1,1))</f>
        <v>36000</v>
      </c>
      <c r="E61" s="4">
        <f ca="1">SUM(E62:OFFSET(E62,D24,0,1,1))</f>
        <v>36000</v>
      </c>
      <c r="F61" s="4">
        <f ca="1">SUM(F62:OFFSET(F62,E24,0,1,1))</f>
        <v>36000</v>
      </c>
      <c r="G61" s="4">
        <f ca="1">SUM(G62:OFFSET(G62,F24,0,1,1))</f>
        <v>36000</v>
      </c>
      <c r="H61" s="4">
        <f ca="1">SUM(H62:OFFSET(H62,G24,0,1,1))</f>
        <v>4611.796578703548</v>
      </c>
      <c r="I61" s="4">
        <f ca="1">SUM(I62:OFFSET(I62,H24,0,1,1))</f>
        <v>4611.796578703548</v>
      </c>
      <c r="J61" s="4">
        <f ca="1">SUM(J62:OFFSET(J62,I24,0,1,1))</f>
        <v>4611.796578703548</v>
      </c>
      <c r="K61" s="4">
        <f ca="1">SUM(K62:OFFSET(K62,J24,0,1,1))</f>
        <v>4611.796578703548</v>
      </c>
      <c r="L61" s="4">
        <f ca="1">SUM(L62:OFFSET(L62,K24,0,1,1))</f>
        <v>4611.796578703548</v>
      </c>
      <c r="M61" s="4" t="e">
        <f ca="1">SUM(M62:OFFSET(M62,L24,0,1,1))</f>
        <v>#VALUE!</v>
      </c>
      <c r="N61" s="4" t="e">
        <f ca="1">SUM(N62:OFFSET(N62,M24,0,1,1))</f>
        <v>#VALUE!</v>
      </c>
      <c r="O61" s="4" t="e">
        <f ca="1">SUM(O62:OFFSET(O62,N24,0,1,1))</f>
        <v>#VALUE!</v>
      </c>
      <c r="P61" s="4" t="e">
        <f ca="1">SUM(P62:OFFSET(P62,O24,0,1,1))</f>
        <v>#VALUE!</v>
      </c>
      <c r="Q61" s="4" t="e">
        <f ca="1">SUM(Q62:OFFSET(Q62,P24,0,1,1))</f>
        <v>#VALUE!</v>
      </c>
      <c r="R61" s="4" t="e">
        <f ca="1">SUM(R62:OFFSET(R62,Q24,0,1,1))</f>
        <v>#VALUE!</v>
      </c>
      <c r="S61" s="4" t="e">
        <f ca="1">SUM(S62:OFFSET(S62,R24,0,1,1))</f>
        <v>#VALUE!</v>
      </c>
      <c r="T61" s="4" t="e">
        <f ca="1">SUM(T62:OFFSET(T62,S24,0,1,1))</f>
        <v>#VALUE!</v>
      </c>
      <c r="U61" s="4" t="e">
        <f ca="1">SUM(U62:OFFSET(U62,T24,0,1,1))</f>
        <v>#VALUE!</v>
      </c>
      <c r="V61" s="4" t="e">
        <f ca="1">SUM(V62:OFFSET(V62,U24,0,1,1))</f>
        <v>#VALUE!</v>
      </c>
      <c r="W61" s="4" t="e">
        <f ca="1">SUM(W62:OFFSET(W62,V24,0,1,1))</f>
        <v>#VALUE!</v>
      </c>
      <c r="X61" s="4" t="e">
        <f ca="1">SUM(X62:OFFSET(X62,W24,0,1,1))</f>
        <v>#VALUE!</v>
      </c>
      <c r="Y61" s="4" t="e">
        <f ca="1">SUM(Y62:OFFSET(Y62,X24,0,1,1))</f>
        <v>#VALUE!</v>
      </c>
      <c r="Z61" s="4" t="e">
        <f ca="1">SUM(Z62:OFFSET(Z62,Y24,0,1,1))</f>
        <v>#VALUE!</v>
      </c>
      <c r="AA61" s="4" t="e">
        <f ca="1">SUM(AA62:OFFSET(AA62,Z24,0,1,1))</f>
        <v>#VALUE!</v>
      </c>
      <c r="AB61" s="4" t="e">
        <f ca="1">SUM(AB62:OFFSET(AB62,AA24,0,1,1))</f>
        <v>#VALUE!</v>
      </c>
    </row>
    <row r="62" spans="3:28" s="10" customFormat="1" ht="12.75" hidden="1">
      <c r="C62" s="11">
        <f aca="true" t="shared" si="30" ref="C62:AB62">IF($B$17-C$24+0&gt;=0,SLN($C$111+$C$114,0,$B$17),0)</f>
        <v>36000</v>
      </c>
      <c r="D62" s="11">
        <f t="shared" si="30"/>
        <v>36000</v>
      </c>
      <c r="E62" s="11">
        <f t="shared" si="30"/>
        <v>36000</v>
      </c>
      <c r="F62" s="11">
        <f t="shared" si="30"/>
        <v>36000</v>
      </c>
      <c r="G62" s="11">
        <f t="shared" si="30"/>
        <v>36000</v>
      </c>
      <c r="H62" s="11">
        <f t="shared" si="30"/>
        <v>0</v>
      </c>
      <c r="I62" s="11">
        <f t="shared" si="30"/>
        <v>0</v>
      </c>
      <c r="J62" s="11">
        <f t="shared" si="30"/>
        <v>0</v>
      </c>
      <c r="K62" s="11">
        <f t="shared" si="30"/>
        <v>0</v>
      </c>
      <c r="L62" s="11">
        <f t="shared" si="30"/>
        <v>0</v>
      </c>
      <c r="M62" s="11" t="e">
        <f t="shared" si="30"/>
        <v>#VALUE!</v>
      </c>
      <c r="N62" s="11" t="e">
        <f t="shared" si="30"/>
        <v>#VALUE!</v>
      </c>
      <c r="O62" s="11" t="e">
        <f t="shared" si="30"/>
        <v>#VALUE!</v>
      </c>
      <c r="P62" s="11" t="e">
        <f t="shared" si="30"/>
        <v>#VALUE!</v>
      </c>
      <c r="Q62" s="11" t="e">
        <f t="shared" si="30"/>
        <v>#VALUE!</v>
      </c>
      <c r="R62" s="11" t="e">
        <f t="shared" si="30"/>
        <v>#VALUE!</v>
      </c>
      <c r="S62" s="11" t="e">
        <f t="shared" si="30"/>
        <v>#VALUE!</v>
      </c>
      <c r="T62" s="11" t="e">
        <f t="shared" si="30"/>
        <v>#VALUE!</v>
      </c>
      <c r="U62" s="11" t="e">
        <f t="shared" si="30"/>
        <v>#VALUE!</v>
      </c>
      <c r="V62" s="11" t="e">
        <f t="shared" si="30"/>
        <v>#VALUE!</v>
      </c>
      <c r="W62" s="11" t="e">
        <f t="shared" si="30"/>
        <v>#VALUE!</v>
      </c>
      <c r="X62" s="11" t="e">
        <f t="shared" si="30"/>
        <v>#VALUE!</v>
      </c>
      <c r="Y62" s="11" t="e">
        <f t="shared" si="30"/>
        <v>#VALUE!</v>
      </c>
      <c r="Z62" s="11" t="e">
        <f t="shared" si="30"/>
        <v>#VALUE!</v>
      </c>
      <c r="AA62" s="11" t="e">
        <f t="shared" si="30"/>
        <v>#VALUE!</v>
      </c>
      <c r="AB62" s="11" t="e">
        <f t="shared" si="30"/>
        <v>#VALUE!</v>
      </c>
    </row>
    <row r="63" spans="4:28" s="10" customFormat="1" ht="12.75" hidden="1">
      <c r="D63" s="11">
        <f aca="true" t="shared" si="31" ref="D63:AB63">IF($B$17-D$24+$C$24&gt;=0,SLN($D$111+$D$114,0,$B$17),0)</f>
        <v>0</v>
      </c>
      <c r="E63" s="11">
        <f t="shared" si="31"/>
        <v>0</v>
      </c>
      <c r="F63" s="11">
        <f t="shared" si="31"/>
        <v>0</v>
      </c>
      <c r="G63" s="11">
        <f t="shared" si="31"/>
        <v>0</v>
      </c>
      <c r="H63" s="11">
        <f t="shared" si="31"/>
        <v>0</v>
      </c>
      <c r="I63" s="11">
        <f t="shared" si="31"/>
        <v>0</v>
      </c>
      <c r="J63" s="11">
        <f t="shared" si="31"/>
        <v>0</v>
      </c>
      <c r="K63" s="11">
        <f t="shared" si="31"/>
        <v>0</v>
      </c>
      <c r="L63" s="11">
        <f t="shared" si="31"/>
        <v>0</v>
      </c>
      <c r="M63" s="11" t="e">
        <f t="shared" si="31"/>
        <v>#VALUE!</v>
      </c>
      <c r="N63" s="11" t="e">
        <f t="shared" si="31"/>
        <v>#VALUE!</v>
      </c>
      <c r="O63" s="11" t="e">
        <f t="shared" si="31"/>
        <v>#VALUE!</v>
      </c>
      <c r="P63" s="11" t="e">
        <f t="shared" si="31"/>
        <v>#VALUE!</v>
      </c>
      <c r="Q63" s="11" t="e">
        <f t="shared" si="31"/>
        <v>#VALUE!</v>
      </c>
      <c r="R63" s="11" t="e">
        <f t="shared" si="31"/>
        <v>#VALUE!</v>
      </c>
      <c r="S63" s="11" t="e">
        <f t="shared" si="31"/>
        <v>#VALUE!</v>
      </c>
      <c r="T63" s="11" t="e">
        <f t="shared" si="31"/>
        <v>#VALUE!</v>
      </c>
      <c r="U63" s="11" t="e">
        <f t="shared" si="31"/>
        <v>#VALUE!</v>
      </c>
      <c r="V63" s="11" t="e">
        <f t="shared" si="31"/>
        <v>#VALUE!</v>
      </c>
      <c r="W63" s="11" t="e">
        <f t="shared" si="31"/>
        <v>#VALUE!</v>
      </c>
      <c r="X63" s="11" t="e">
        <f t="shared" si="31"/>
        <v>#VALUE!</v>
      </c>
      <c r="Y63" s="11" t="e">
        <f t="shared" si="31"/>
        <v>#VALUE!</v>
      </c>
      <c r="Z63" s="11" t="e">
        <f t="shared" si="31"/>
        <v>#VALUE!</v>
      </c>
      <c r="AA63" s="11" t="e">
        <f t="shared" si="31"/>
        <v>#VALUE!</v>
      </c>
      <c r="AB63" s="11" t="e">
        <f t="shared" si="31"/>
        <v>#VALUE!</v>
      </c>
    </row>
    <row r="64" spans="5:28" s="10" customFormat="1" ht="12.75" hidden="1">
      <c r="E64" s="11">
        <f aca="true" t="shared" si="32" ref="E64:AB64">IF($B$17-E$24+$D$24&gt;=0,SLN($E$111+$E$114,0,$B$17),0)</f>
        <v>0</v>
      </c>
      <c r="F64" s="11">
        <f t="shared" si="32"/>
        <v>0</v>
      </c>
      <c r="G64" s="11">
        <f t="shared" si="32"/>
        <v>0</v>
      </c>
      <c r="H64" s="11">
        <f t="shared" si="32"/>
        <v>0</v>
      </c>
      <c r="I64" s="11">
        <f t="shared" si="32"/>
        <v>0</v>
      </c>
      <c r="J64" s="11">
        <f t="shared" si="32"/>
        <v>0</v>
      </c>
      <c r="K64" s="11">
        <f t="shared" si="32"/>
        <v>0</v>
      </c>
      <c r="L64" s="11">
        <f t="shared" si="32"/>
        <v>0</v>
      </c>
      <c r="M64" s="11" t="e">
        <f t="shared" si="32"/>
        <v>#VALUE!</v>
      </c>
      <c r="N64" s="11" t="e">
        <f t="shared" si="32"/>
        <v>#VALUE!</v>
      </c>
      <c r="O64" s="11" t="e">
        <f t="shared" si="32"/>
        <v>#VALUE!</v>
      </c>
      <c r="P64" s="11" t="e">
        <f t="shared" si="32"/>
        <v>#VALUE!</v>
      </c>
      <c r="Q64" s="11" t="e">
        <f t="shared" si="32"/>
        <v>#VALUE!</v>
      </c>
      <c r="R64" s="11" t="e">
        <f t="shared" si="32"/>
        <v>#VALUE!</v>
      </c>
      <c r="S64" s="11" t="e">
        <f t="shared" si="32"/>
        <v>#VALUE!</v>
      </c>
      <c r="T64" s="11" t="e">
        <f t="shared" si="32"/>
        <v>#VALUE!</v>
      </c>
      <c r="U64" s="11" t="e">
        <f t="shared" si="32"/>
        <v>#VALUE!</v>
      </c>
      <c r="V64" s="11" t="e">
        <f t="shared" si="32"/>
        <v>#VALUE!</v>
      </c>
      <c r="W64" s="11" t="e">
        <f t="shared" si="32"/>
        <v>#VALUE!</v>
      </c>
      <c r="X64" s="11" t="e">
        <f t="shared" si="32"/>
        <v>#VALUE!</v>
      </c>
      <c r="Y64" s="11" t="e">
        <f t="shared" si="32"/>
        <v>#VALUE!</v>
      </c>
      <c r="Z64" s="11" t="e">
        <f t="shared" si="32"/>
        <v>#VALUE!</v>
      </c>
      <c r="AA64" s="11" t="e">
        <f t="shared" si="32"/>
        <v>#VALUE!</v>
      </c>
      <c r="AB64" s="11" t="e">
        <f t="shared" si="32"/>
        <v>#VALUE!</v>
      </c>
    </row>
    <row r="65" spans="6:28" s="10" customFormat="1" ht="12.75" hidden="1">
      <c r="F65" s="11">
        <f aca="true" t="shared" si="33" ref="F65:AB65">IF($B$17-F$24+$E$24&gt;=0,SLN($F$111+$F$114,0,$B$17),0)</f>
        <v>0</v>
      </c>
      <c r="G65" s="11">
        <f t="shared" si="33"/>
        <v>0</v>
      </c>
      <c r="H65" s="11">
        <f t="shared" si="33"/>
        <v>0</v>
      </c>
      <c r="I65" s="11">
        <f t="shared" si="33"/>
        <v>0</v>
      </c>
      <c r="J65" s="11">
        <f t="shared" si="33"/>
        <v>0</v>
      </c>
      <c r="K65" s="11">
        <f t="shared" si="33"/>
        <v>0</v>
      </c>
      <c r="L65" s="11">
        <f t="shared" si="33"/>
        <v>0</v>
      </c>
      <c r="M65" s="11" t="e">
        <f t="shared" si="33"/>
        <v>#VALUE!</v>
      </c>
      <c r="N65" s="11" t="e">
        <f t="shared" si="33"/>
        <v>#VALUE!</v>
      </c>
      <c r="O65" s="11" t="e">
        <f t="shared" si="33"/>
        <v>#VALUE!</v>
      </c>
      <c r="P65" s="11" t="e">
        <f t="shared" si="33"/>
        <v>#VALUE!</v>
      </c>
      <c r="Q65" s="11" t="e">
        <f t="shared" si="33"/>
        <v>#VALUE!</v>
      </c>
      <c r="R65" s="11" t="e">
        <f t="shared" si="33"/>
        <v>#VALUE!</v>
      </c>
      <c r="S65" s="11" t="e">
        <f t="shared" si="33"/>
        <v>#VALUE!</v>
      </c>
      <c r="T65" s="11" t="e">
        <f t="shared" si="33"/>
        <v>#VALUE!</v>
      </c>
      <c r="U65" s="11" t="e">
        <f t="shared" si="33"/>
        <v>#VALUE!</v>
      </c>
      <c r="V65" s="11" t="e">
        <f t="shared" si="33"/>
        <v>#VALUE!</v>
      </c>
      <c r="W65" s="11" t="e">
        <f t="shared" si="33"/>
        <v>#VALUE!</v>
      </c>
      <c r="X65" s="11" t="e">
        <f t="shared" si="33"/>
        <v>#VALUE!</v>
      </c>
      <c r="Y65" s="11" t="e">
        <f t="shared" si="33"/>
        <v>#VALUE!</v>
      </c>
      <c r="Z65" s="11" t="e">
        <f t="shared" si="33"/>
        <v>#VALUE!</v>
      </c>
      <c r="AA65" s="11" t="e">
        <f t="shared" si="33"/>
        <v>#VALUE!</v>
      </c>
      <c r="AB65" s="11" t="e">
        <f t="shared" si="33"/>
        <v>#VALUE!</v>
      </c>
    </row>
    <row r="66" spans="7:28" s="10" customFormat="1" ht="12.75" hidden="1">
      <c r="G66" s="11">
        <f aca="true" t="shared" si="34" ref="G66:AB66">IF($B$17-G$24+$F$24&gt;=0,SLN($G$111+$G$114,0,$B$17),0)</f>
        <v>0</v>
      </c>
      <c r="H66" s="11">
        <f t="shared" si="34"/>
        <v>0</v>
      </c>
      <c r="I66" s="11">
        <f t="shared" si="34"/>
        <v>0</v>
      </c>
      <c r="J66" s="11">
        <f t="shared" si="34"/>
        <v>0</v>
      </c>
      <c r="K66" s="11">
        <f t="shared" si="34"/>
        <v>0</v>
      </c>
      <c r="L66" s="11">
        <f t="shared" si="34"/>
        <v>0</v>
      </c>
      <c r="M66" s="11" t="e">
        <f t="shared" si="34"/>
        <v>#VALUE!</v>
      </c>
      <c r="N66" s="11" t="e">
        <f t="shared" si="34"/>
        <v>#VALUE!</v>
      </c>
      <c r="O66" s="11" t="e">
        <f t="shared" si="34"/>
        <v>#VALUE!</v>
      </c>
      <c r="P66" s="11" t="e">
        <f t="shared" si="34"/>
        <v>#VALUE!</v>
      </c>
      <c r="Q66" s="11" t="e">
        <f t="shared" si="34"/>
        <v>#VALUE!</v>
      </c>
      <c r="R66" s="11" t="e">
        <f t="shared" si="34"/>
        <v>#VALUE!</v>
      </c>
      <c r="S66" s="11" t="e">
        <f t="shared" si="34"/>
        <v>#VALUE!</v>
      </c>
      <c r="T66" s="11" t="e">
        <f t="shared" si="34"/>
        <v>#VALUE!</v>
      </c>
      <c r="U66" s="11" t="e">
        <f t="shared" si="34"/>
        <v>#VALUE!</v>
      </c>
      <c r="V66" s="11" t="e">
        <f t="shared" si="34"/>
        <v>#VALUE!</v>
      </c>
      <c r="W66" s="11" t="e">
        <f t="shared" si="34"/>
        <v>#VALUE!</v>
      </c>
      <c r="X66" s="11" t="e">
        <f t="shared" si="34"/>
        <v>#VALUE!</v>
      </c>
      <c r="Y66" s="11" t="e">
        <f t="shared" si="34"/>
        <v>#VALUE!</v>
      </c>
      <c r="Z66" s="11" t="e">
        <f t="shared" si="34"/>
        <v>#VALUE!</v>
      </c>
      <c r="AA66" s="11" t="e">
        <f t="shared" si="34"/>
        <v>#VALUE!</v>
      </c>
      <c r="AB66" s="11" t="e">
        <f t="shared" si="34"/>
        <v>#VALUE!</v>
      </c>
    </row>
    <row r="67" spans="8:28" s="10" customFormat="1" ht="12.75" hidden="1">
      <c r="H67" s="11">
        <f aca="true" t="shared" si="35" ref="H67:AB67">IF($B$17-H$24+$G$24&gt;=0,SLN($H$111+$H$114,0,$B$17),0)</f>
        <v>4611.796578703548</v>
      </c>
      <c r="I67" s="11">
        <f t="shared" si="35"/>
        <v>4611.796578703548</v>
      </c>
      <c r="J67" s="11">
        <f t="shared" si="35"/>
        <v>4611.796578703548</v>
      </c>
      <c r="K67" s="11">
        <f t="shared" si="35"/>
        <v>4611.796578703548</v>
      </c>
      <c r="L67" s="11">
        <f t="shared" si="35"/>
        <v>4611.796578703548</v>
      </c>
      <c r="M67" s="11" t="e">
        <f t="shared" si="35"/>
        <v>#VALUE!</v>
      </c>
      <c r="N67" s="11" t="e">
        <f t="shared" si="35"/>
        <v>#VALUE!</v>
      </c>
      <c r="O67" s="11" t="e">
        <f t="shared" si="35"/>
        <v>#VALUE!</v>
      </c>
      <c r="P67" s="11" t="e">
        <f t="shared" si="35"/>
        <v>#VALUE!</v>
      </c>
      <c r="Q67" s="11" t="e">
        <f t="shared" si="35"/>
        <v>#VALUE!</v>
      </c>
      <c r="R67" s="11" t="e">
        <f t="shared" si="35"/>
        <v>#VALUE!</v>
      </c>
      <c r="S67" s="11" t="e">
        <f t="shared" si="35"/>
        <v>#VALUE!</v>
      </c>
      <c r="T67" s="11" t="e">
        <f t="shared" si="35"/>
        <v>#VALUE!</v>
      </c>
      <c r="U67" s="11" t="e">
        <f t="shared" si="35"/>
        <v>#VALUE!</v>
      </c>
      <c r="V67" s="11" t="e">
        <f t="shared" si="35"/>
        <v>#VALUE!</v>
      </c>
      <c r="W67" s="11" t="e">
        <f t="shared" si="35"/>
        <v>#VALUE!</v>
      </c>
      <c r="X67" s="11" t="e">
        <f t="shared" si="35"/>
        <v>#VALUE!</v>
      </c>
      <c r="Y67" s="11" t="e">
        <f t="shared" si="35"/>
        <v>#VALUE!</v>
      </c>
      <c r="Z67" s="11" t="e">
        <f t="shared" si="35"/>
        <v>#VALUE!</v>
      </c>
      <c r="AA67" s="11" t="e">
        <f t="shared" si="35"/>
        <v>#VALUE!</v>
      </c>
      <c r="AB67" s="11" t="e">
        <f t="shared" si="35"/>
        <v>#VALUE!</v>
      </c>
    </row>
    <row r="68" spans="9:28" s="10" customFormat="1" ht="12.75" hidden="1">
      <c r="I68" s="11">
        <f aca="true" t="shared" si="36" ref="I68:AB68">IF($B$17-I$24+$H$24&gt;=0,SLN($I$111+$I$114,0,$B$17),0)</f>
        <v>0</v>
      </c>
      <c r="J68" s="11">
        <f t="shared" si="36"/>
        <v>0</v>
      </c>
      <c r="K68" s="11">
        <f t="shared" si="36"/>
        <v>0</v>
      </c>
      <c r="L68" s="11">
        <f t="shared" si="36"/>
        <v>0</v>
      </c>
      <c r="M68" s="11" t="e">
        <f t="shared" si="36"/>
        <v>#VALUE!</v>
      </c>
      <c r="N68" s="11" t="e">
        <f t="shared" si="36"/>
        <v>#VALUE!</v>
      </c>
      <c r="O68" s="11" t="e">
        <f t="shared" si="36"/>
        <v>#VALUE!</v>
      </c>
      <c r="P68" s="11" t="e">
        <f t="shared" si="36"/>
        <v>#VALUE!</v>
      </c>
      <c r="Q68" s="11" t="e">
        <f t="shared" si="36"/>
        <v>#VALUE!</v>
      </c>
      <c r="R68" s="11" t="e">
        <f t="shared" si="36"/>
        <v>#VALUE!</v>
      </c>
      <c r="S68" s="11" t="e">
        <f t="shared" si="36"/>
        <v>#VALUE!</v>
      </c>
      <c r="T68" s="11" t="e">
        <f t="shared" si="36"/>
        <v>#VALUE!</v>
      </c>
      <c r="U68" s="11" t="e">
        <f t="shared" si="36"/>
        <v>#VALUE!</v>
      </c>
      <c r="V68" s="11" t="e">
        <f t="shared" si="36"/>
        <v>#VALUE!</v>
      </c>
      <c r="W68" s="11" t="e">
        <f t="shared" si="36"/>
        <v>#VALUE!</v>
      </c>
      <c r="X68" s="11" t="e">
        <f t="shared" si="36"/>
        <v>#VALUE!</v>
      </c>
      <c r="Y68" s="11" t="e">
        <f t="shared" si="36"/>
        <v>#VALUE!</v>
      </c>
      <c r="Z68" s="11" t="e">
        <f t="shared" si="36"/>
        <v>#VALUE!</v>
      </c>
      <c r="AA68" s="11" t="e">
        <f t="shared" si="36"/>
        <v>#VALUE!</v>
      </c>
      <c r="AB68" s="11" t="e">
        <f t="shared" si="36"/>
        <v>#VALUE!</v>
      </c>
    </row>
    <row r="69" spans="10:28" s="10" customFormat="1" ht="12.75" hidden="1">
      <c r="J69" s="11">
        <f aca="true" t="shared" si="37" ref="J69:AB69">IF($B$17-J$24+$I$24&gt;=0,SLN($J$111+$J$114,0,$B$17),0)</f>
        <v>0</v>
      </c>
      <c r="K69" s="11">
        <f t="shared" si="37"/>
        <v>0</v>
      </c>
      <c r="L69" s="11">
        <f t="shared" si="37"/>
        <v>0</v>
      </c>
      <c r="M69" s="11" t="e">
        <f t="shared" si="37"/>
        <v>#VALUE!</v>
      </c>
      <c r="N69" s="11" t="e">
        <f t="shared" si="37"/>
        <v>#VALUE!</v>
      </c>
      <c r="O69" s="11" t="e">
        <f t="shared" si="37"/>
        <v>#VALUE!</v>
      </c>
      <c r="P69" s="11" t="e">
        <f t="shared" si="37"/>
        <v>#VALUE!</v>
      </c>
      <c r="Q69" s="11" t="e">
        <f t="shared" si="37"/>
        <v>#VALUE!</v>
      </c>
      <c r="R69" s="11" t="e">
        <f t="shared" si="37"/>
        <v>#VALUE!</v>
      </c>
      <c r="S69" s="11" t="e">
        <f t="shared" si="37"/>
        <v>#VALUE!</v>
      </c>
      <c r="T69" s="11" t="e">
        <f t="shared" si="37"/>
        <v>#VALUE!</v>
      </c>
      <c r="U69" s="11" t="e">
        <f t="shared" si="37"/>
        <v>#VALUE!</v>
      </c>
      <c r="V69" s="11" t="e">
        <f t="shared" si="37"/>
        <v>#VALUE!</v>
      </c>
      <c r="W69" s="11" t="e">
        <f t="shared" si="37"/>
        <v>#VALUE!</v>
      </c>
      <c r="X69" s="11" t="e">
        <f t="shared" si="37"/>
        <v>#VALUE!</v>
      </c>
      <c r="Y69" s="11" t="e">
        <f t="shared" si="37"/>
        <v>#VALUE!</v>
      </c>
      <c r="Z69" s="11" t="e">
        <f t="shared" si="37"/>
        <v>#VALUE!</v>
      </c>
      <c r="AA69" s="11" t="e">
        <f t="shared" si="37"/>
        <v>#VALUE!</v>
      </c>
      <c r="AB69" s="11" t="e">
        <f t="shared" si="37"/>
        <v>#VALUE!</v>
      </c>
    </row>
    <row r="70" spans="11:28" s="10" customFormat="1" ht="12.75" hidden="1">
      <c r="K70" s="11">
        <f aca="true" t="shared" si="38" ref="K70:AB70">IF($B$17-K$24+$J$24&gt;=0,SLN($K$111+$K$114,0,$B$17),0)</f>
        <v>0</v>
      </c>
      <c r="L70" s="11">
        <f t="shared" si="38"/>
        <v>0</v>
      </c>
      <c r="M70" s="11" t="e">
        <f t="shared" si="38"/>
        <v>#VALUE!</v>
      </c>
      <c r="N70" s="11" t="e">
        <f t="shared" si="38"/>
        <v>#VALUE!</v>
      </c>
      <c r="O70" s="11" t="e">
        <f t="shared" si="38"/>
        <v>#VALUE!</v>
      </c>
      <c r="P70" s="11" t="e">
        <f t="shared" si="38"/>
        <v>#VALUE!</v>
      </c>
      <c r="Q70" s="11" t="e">
        <f t="shared" si="38"/>
        <v>#VALUE!</v>
      </c>
      <c r="R70" s="11" t="e">
        <f t="shared" si="38"/>
        <v>#VALUE!</v>
      </c>
      <c r="S70" s="11" t="e">
        <f t="shared" si="38"/>
        <v>#VALUE!</v>
      </c>
      <c r="T70" s="11" t="e">
        <f t="shared" si="38"/>
        <v>#VALUE!</v>
      </c>
      <c r="U70" s="11" t="e">
        <f t="shared" si="38"/>
        <v>#VALUE!</v>
      </c>
      <c r="V70" s="11" t="e">
        <f t="shared" si="38"/>
        <v>#VALUE!</v>
      </c>
      <c r="W70" s="11" t="e">
        <f t="shared" si="38"/>
        <v>#VALUE!</v>
      </c>
      <c r="X70" s="11" t="e">
        <f t="shared" si="38"/>
        <v>#VALUE!</v>
      </c>
      <c r="Y70" s="11" t="e">
        <f t="shared" si="38"/>
        <v>#VALUE!</v>
      </c>
      <c r="Z70" s="11" t="e">
        <f t="shared" si="38"/>
        <v>#VALUE!</v>
      </c>
      <c r="AA70" s="11" t="e">
        <f t="shared" si="38"/>
        <v>#VALUE!</v>
      </c>
      <c r="AB70" s="11" t="e">
        <f t="shared" si="38"/>
        <v>#VALUE!</v>
      </c>
    </row>
    <row r="71" spans="12:28" s="10" customFormat="1" ht="12.75" hidden="1">
      <c r="L71" s="11">
        <f aca="true" t="shared" si="39" ref="L71:AB71">IF($B$17-L$24+$K$24&gt;=0,SLN($L$111+$L$114,0,$B$17),0)</f>
        <v>0</v>
      </c>
      <c r="M71" s="11" t="e">
        <f t="shared" si="39"/>
        <v>#VALUE!</v>
      </c>
      <c r="N71" s="11" t="e">
        <f t="shared" si="39"/>
        <v>#VALUE!</v>
      </c>
      <c r="O71" s="11" t="e">
        <f t="shared" si="39"/>
        <v>#VALUE!</v>
      </c>
      <c r="P71" s="11" t="e">
        <f t="shared" si="39"/>
        <v>#VALUE!</v>
      </c>
      <c r="Q71" s="11" t="e">
        <f t="shared" si="39"/>
        <v>#VALUE!</v>
      </c>
      <c r="R71" s="11" t="e">
        <f t="shared" si="39"/>
        <v>#VALUE!</v>
      </c>
      <c r="S71" s="11" t="e">
        <f t="shared" si="39"/>
        <v>#VALUE!</v>
      </c>
      <c r="T71" s="11" t="e">
        <f t="shared" si="39"/>
        <v>#VALUE!</v>
      </c>
      <c r="U71" s="11" t="e">
        <f t="shared" si="39"/>
        <v>#VALUE!</v>
      </c>
      <c r="V71" s="11" t="e">
        <f t="shared" si="39"/>
        <v>#VALUE!</v>
      </c>
      <c r="W71" s="11" t="e">
        <f t="shared" si="39"/>
        <v>#VALUE!</v>
      </c>
      <c r="X71" s="11" t="e">
        <f t="shared" si="39"/>
        <v>#VALUE!</v>
      </c>
      <c r="Y71" s="11" t="e">
        <f t="shared" si="39"/>
        <v>#VALUE!</v>
      </c>
      <c r="Z71" s="11" t="e">
        <f t="shared" si="39"/>
        <v>#VALUE!</v>
      </c>
      <c r="AA71" s="11" t="e">
        <f t="shared" si="39"/>
        <v>#VALUE!</v>
      </c>
      <c r="AB71" s="11" t="e">
        <f t="shared" si="39"/>
        <v>#VALUE!</v>
      </c>
    </row>
    <row r="72" spans="13:28" s="10" customFormat="1" ht="12.75" hidden="1">
      <c r="M72" s="11" t="e">
        <f aca="true" t="shared" si="40" ref="M72:AB72">IF($B$17-M$24+$L$24&gt;=0,SLN($M$111+$M$114,0,$B$17),0)</f>
        <v>#VALUE!</v>
      </c>
      <c r="N72" s="11" t="e">
        <f t="shared" si="40"/>
        <v>#VALUE!</v>
      </c>
      <c r="O72" s="11" t="e">
        <f t="shared" si="40"/>
        <v>#VALUE!</v>
      </c>
      <c r="P72" s="11" t="e">
        <f t="shared" si="40"/>
        <v>#VALUE!</v>
      </c>
      <c r="Q72" s="11" t="e">
        <f t="shared" si="40"/>
        <v>#VALUE!</v>
      </c>
      <c r="R72" s="11" t="e">
        <f t="shared" si="40"/>
        <v>#VALUE!</v>
      </c>
      <c r="S72" s="11" t="e">
        <f t="shared" si="40"/>
        <v>#VALUE!</v>
      </c>
      <c r="T72" s="11" t="e">
        <f t="shared" si="40"/>
        <v>#VALUE!</v>
      </c>
      <c r="U72" s="11" t="e">
        <f t="shared" si="40"/>
        <v>#VALUE!</v>
      </c>
      <c r="V72" s="11" t="e">
        <f t="shared" si="40"/>
        <v>#VALUE!</v>
      </c>
      <c r="W72" s="11" t="e">
        <f t="shared" si="40"/>
        <v>#VALUE!</v>
      </c>
      <c r="X72" s="11" t="e">
        <f t="shared" si="40"/>
        <v>#VALUE!</v>
      </c>
      <c r="Y72" s="11" t="e">
        <f t="shared" si="40"/>
        <v>#VALUE!</v>
      </c>
      <c r="Z72" s="11" t="e">
        <f t="shared" si="40"/>
        <v>#VALUE!</v>
      </c>
      <c r="AA72" s="11" t="e">
        <f t="shared" si="40"/>
        <v>#VALUE!</v>
      </c>
      <c r="AB72" s="11" t="e">
        <f t="shared" si="40"/>
        <v>#VALUE!</v>
      </c>
    </row>
    <row r="73" spans="14:28" s="10" customFormat="1" ht="12.75" hidden="1">
      <c r="N73" s="11" t="e">
        <f aca="true" t="shared" si="41" ref="N73:AB73">IF($B$17-N$24+$M$24&gt;=0,SLN($N$111+$N$114,0,$B$17),0)</f>
        <v>#VALUE!</v>
      </c>
      <c r="O73" s="11" t="e">
        <f t="shared" si="41"/>
        <v>#VALUE!</v>
      </c>
      <c r="P73" s="11" t="e">
        <f t="shared" si="41"/>
        <v>#VALUE!</v>
      </c>
      <c r="Q73" s="11" t="e">
        <f t="shared" si="41"/>
        <v>#VALUE!</v>
      </c>
      <c r="R73" s="11" t="e">
        <f t="shared" si="41"/>
        <v>#VALUE!</v>
      </c>
      <c r="S73" s="11" t="e">
        <f t="shared" si="41"/>
        <v>#VALUE!</v>
      </c>
      <c r="T73" s="11" t="e">
        <f t="shared" si="41"/>
        <v>#VALUE!</v>
      </c>
      <c r="U73" s="11" t="e">
        <f t="shared" si="41"/>
        <v>#VALUE!</v>
      </c>
      <c r="V73" s="11" t="e">
        <f t="shared" si="41"/>
        <v>#VALUE!</v>
      </c>
      <c r="W73" s="11" t="e">
        <f t="shared" si="41"/>
        <v>#VALUE!</v>
      </c>
      <c r="X73" s="11" t="e">
        <f t="shared" si="41"/>
        <v>#VALUE!</v>
      </c>
      <c r="Y73" s="11" t="e">
        <f t="shared" si="41"/>
        <v>#VALUE!</v>
      </c>
      <c r="Z73" s="11" t="e">
        <f t="shared" si="41"/>
        <v>#VALUE!</v>
      </c>
      <c r="AA73" s="11" t="e">
        <f t="shared" si="41"/>
        <v>#VALUE!</v>
      </c>
      <c r="AB73" s="11" t="e">
        <f t="shared" si="41"/>
        <v>#VALUE!</v>
      </c>
    </row>
    <row r="74" spans="15:28" s="10" customFormat="1" ht="12.75" hidden="1">
      <c r="O74" s="11" t="e">
        <f aca="true" t="shared" si="42" ref="O74:AB74">IF($B$17-O$24+$N$24&gt;=0,SLN($O$111+$O$114,0,$B$17),0)</f>
        <v>#VALUE!</v>
      </c>
      <c r="P74" s="11" t="e">
        <f t="shared" si="42"/>
        <v>#VALUE!</v>
      </c>
      <c r="Q74" s="11" t="e">
        <f t="shared" si="42"/>
        <v>#VALUE!</v>
      </c>
      <c r="R74" s="11" t="e">
        <f t="shared" si="42"/>
        <v>#VALUE!</v>
      </c>
      <c r="S74" s="11" t="e">
        <f t="shared" si="42"/>
        <v>#VALUE!</v>
      </c>
      <c r="T74" s="11" t="e">
        <f t="shared" si="42"/>
        <v>#VALUE!</v>
      </c>
      <c r="U74" s="11" t="e">
        <f t="shared" si="42"/>
        <v>#VALUE!</v>
      </c>
      <c r="V74" s="11" t="e">
        <f t="shared" si="42"/>
        <v>#VALUE!</v>
      </c>
      <c r="W74" s="11" t="e">
        <f t="shared" si="42"/>
        <v>#VALUE!</v>
      </c>
      <c r="X74" s="11" t="e">
        <f t="shared" si="42"/>
        <v>#VALUE!</v>
      </c>
      <c r="Y74" s="11" t="e">
        <f t="shared" si="42"/>
        <v>#VALUE!</v>
      </c>
      <c r="Z74" s="11" t="e">
        <f t="shared" si="42"/>
        <v>#VALUE!</v>
      </c>
      <c r="AA74" s="11" t="e">
        <f t="shared" si="42"/>
        <v>#VALUE!</v>
      </c>
      <c r="AB74" s="11" t="e">
        <f t="shared" si="42"/>
        <v>#VALUE!</v>
      </c>
    </row>
    <row r="75" spans="16:28" s="10" customFormat="1" ht="12.75" hidden="1">
      <c r="P75" s="11" t="e">
        <f aca="true" t="shared" si="43" ref="P75:AB75">IF($B$17-P$24+$O$24&gt;=0,SLN($P$111+$P$114,0,$B$17),0)</f>
        <v>#VALUE!</v>
      </c>
      <c r="Q75" s="11" t="e">
        <f t="shared" si="43"/>
        <v>#VALUE!</v>
      </c>
      <c r="R75" s="11" t="e">
        <f t="shared" si="43"/>
        <v>#VALUE!</v>
      </c>
      <c r="S75" s="11" t="e">
        <f t="shared" si="43"/>
        <v>#VALUE!</v>
      </c>
      <c r="T75" s="11" t="e">
        <f t="shared" si="43"/>
        <v>#VALUE!</v>
      </c>
      <c r="U75" s="11" t="e">
        <f t="shared" si="43"/>
        <v>#VALUE!</v>
      </c>
      <c r="V75" s="11" t="e">
        <f t="shared" si="43"/>
        <v>#VALUE!</v>
      </c>
      <c r="W75" s="11" t="e">
        <f t="shared" si="43"/>
        <v>#VALUE!</v>
      </c>
      <c r="X75" s="11" t="e">
        <f t="shared" si="43"/>
        <v>#VALUE!</v>
      </c>
      <c r="Y75" s="11" t="e">
        <f t="shared" si="43"/>
        <v>#VALUE!</v>
      </c>
      <c r="Z75" s="11" t="e">
        <f t="shared" si="43"/>
        <v>#VALUE!</v>
      </c>
      <c r="AA75" s="11" t="e">
        <f t="shared" si="43"/>
        <v>#VALUE!</v>
      </c>
      <c r="AB75" s="11" t="e">
        <f t="shared" si="43"/>
        <v>#VALUE!</v>
      </c>
    </row>
    <row r="76" spans="17:28" s="10" customFormat="1" ht="12.75" hidden="1">
      <c r="Q76" s="11" t="e">
        <f aca="true" t="shared" si="44" ref="Q76:AB76">IF($B$17-Q$24+$P$24&gt;=0,SLN($Q$111+$Q$114,0,$B$17),0)</f>
        <v>#VALUE!</v>
      </c>
      <c r="R76" s="11" t="e">
        <f t="shared" si="44"/>
        <v>#VALUE!</v>
      </c>
      <c r="S76" s="11" t="e">
        <f t="shared" si="44"/>
        <v>#VALUE!</v>
      </c>
      <c r="T76" s="11" t="e">
        <f t="shared" si="44"/>
        <v>#VALUE!</v>
      </c>
      <c r="U76" s="11" t="e">
        <f t="shared" si="44"/>
        <v>#VALUE!</v>
      </c>
      <c r="V76" s="11" t="e">
        <f t="shared" si="44"/>
        <v>#VALUE!</v>
      </c>
      <c r="W76" s="11" t="e">
        <f t="shared" si="44"/>
        <v>#VALUE!</v>
      </c>
      <c r="X76" s="11" t="e">
        <f t="shared" si="44"/>
        <v>#VALUE!</v>
      </c>
      <c r="Y76" s="11" t="e">
        <f t="shared" si="44"/>
        <v>#VALUE!</v>
      </c>
      <c r="Z76" s="11" t="e">
        <f t="shared" si="44"/>
        <v>#VALUE!</v>
      </c>
      <c r="AA76" s="11" t="e">
        <f t="shared" si="44"/>
        <v>#VALUE!</v>
      </c>
      <c r="AB76" s="11" t="e">
        <f t="shared" si="44"/>
        <v>#VALUE!</v>
      </c>
    </row>
    <row r="77" spans="18:28" s="10" customFormat="1" ht="12.75" hidden="1">
      <c r="R77" s="11" t="e">
        <f aca="true" t="shared" si="45" ref="R77:AB77">IF($B$17-R$24+$Q$24&gt;=0,SLN($R$111+$R$114,0,$B$17),0)</f>
        <v>#VALUE!</v>
      </c>
      <c r="S77" s="11" t="e">
        <f t="shared" si="45"/>
        <v>#VALUE!</v>
      </c>
      <c r="T77" s="11" t="e">
        <f t="shared" si="45"/>
        <v>#VALUE!</v>
      </c>
      <c r="U77" s="11" t="e">
        <f t="shared" si="45"/>
        <v>#VALUE!</v>
      </c>
      <c r="V77" s="11" t="e">
        <f t="shared" si="45"/>
        <v>#VALUE!</v>
      </c>
      <c r="W77" s="11" t="e">
        <f t="shared" si="45"/>
        <v>#VALUE!</v>
      </c>
      <c r="X77" s="11" t="e">
        <f t="shared" si="45"/>
        <v>#VALUE!</v>
      </c>
      <c r="Y77" s="11" t="e">
        <f t="shared" si="45"/>
        <v>#VALUE!</v>
      </c>
      <c r="Z77" s="11" t="e">
        <f t="shared" si="45"/>
        <v>#VALUE!</v>
      </c>
      <c r="AA77" s="11" t="e">
        <f t="shared" si="45"/>
        <v>#VALUE!</v>
      </c>
      <c r="AB77" s="11" t="e">
        <f t="shared" si="45"/>
        <v>#VALUE!</v>
      </c>
    </row>
    <row r="78" spans="19:28" s="10" customFormat="1" ht="12.75" hidden="1">
      <c r="S78" s="11" t="e">
        <f aca="true" t="shared" si="46" ref="S78:AB78">IF($B$17-S$24+$R$24&gt;=0,SLN($S$111+$S$114,0,$B$17),0)</f>
        <v>#VALUE!</v>
      </c>
      <c r="T78" s="11" t="e">
        <f t="shared" si="46"/>
        <v>#VALUE!</v>
      </c>
      <c r="U78" s="11" t="e">
        <f t="shared" si="46"/>
        <v>#VALUE!</v>
      </c>
      <c r="V78" s="11" t="e">
        <f t="shared" si="46"/>
        <v>#VALUE!</v>
      </c>
      <c r="W78" s="11" t="e">
        <f t="shared" si="46"/>
        <v>#VALUE!</v>
      </c>
      <c r="X78" s="11" t="e">
        <f t="shared" si="46"/>
        <v>#VALUE!</v>
      </c>
      <c r="Y78" s="11" t="e">
        <f t="shared" si="46"/>
        <v>#VALUE!</v>
      </c>
      <c r="Z78" s="11" t="e">
        <f t="shared" si="46"/>
        <v>#VALUE!</v>
      </c>
      <c r="AA78" s="11" t="e">
        <f t="shared" si="46"/>
        <v>#VALUE!</v>
      </c>
      <c r="AB78" s="11" t="e">
        <f t="shared" si="46"/>
        <v>#VALUE!</v>
      </c>
    </row>
    <row r="79" spans="20:28" s="10" customFormat="1" ht="12.75" hidden="1">
      <c r="T79" s="11" t="e">
        <f aca="true" t="shared" si="47" ref="T79:AB79">IF($B$17-T$24+$S$24&gt;=0,SLN($T$111+$T$114,0,$B$17),0)</f>
        <v>#VALUE!</v>
      </c>
      <c r="U79" s="11" t="e">
        <f t="shared" si="47"/>
        <v>#VALUE!</v>
      </c>
      <c r="V79" s="11" t="e">
        <f t="shared" si="47"/>
        <v>#VALUE!</v>
      </c>
      <c r="W79" s="11" t="e">
        <f t="shared" si="47"/>
        <v>#VALUE!</v>
      </c>
      <c r="X79" s="11" t="e">
        <f t="shared" si="47"/>
        <v>#VALUE!</v>
      </c>
      <c r="Y79" s="11" t="e">
        <f t="shared" si="47"/>
        <v>#VALUE!</v>
      </c>
      <c r="Z79" s="11" t="e">
        <f t="shared" si="47"/>
        <v>#VALUE!</v>
      </c>
      <c r="AA79" s="11" t="e">
        <f t="shared" si="47"/>
        <v>#VALUE!</v>
      </c>
      <c r="AB79" s="11" t="e">
        <f t="shared" si="47"/>
        <v>#VALUE!</v>
      </c>
    </row>
    <row r="80" spans="21:28" s="10" customFormat="1" ht="12.75" hidden="1">
      <c r="U80" s="11" t="e">
        <f aca="true" t="shared" si="48" ref="U80:AB80">IF($B$17-U$24+$T$24&gt;=0,SLN($U$111+$U$114,0,$B$17),0)</f>
        <v>#VALUE!</v>
      </c>
      <c r="V80" s="11" t="e">
        <f t="shared" si="48"/>
        <v>#VALUE!</v>
      </c>
      <c r="W80" s="11" t="e">
        <f t="shared" si="48"/>
        <v>#VALUE!</v>
      </c>
      <c r="X80" s="11" t="e">
        <f t="shared" si="48"/>
        <v>#VALUE!</v>
      </c>
      <c r="Y80" s="11" t="e">
        <f t="shared" si="48"/>
        <v>#VALUE!</v>
      </c>
      <c r="Z80" s="11" t="e">
        <f t="shared" si="48"/>
        <v>#VALUE!</v>
      </c>
      <c r="AA80" s="11" t="e">
        <f t="shared" si="48"/>
        <v>#VALUE!</v>
      </c>
      <c r="AB80" s="11" t="e">
        <f t="shared" si="48"/>
        <v>#VALUE!</v>
      </c>
    </row>
    <row r="81" spans="22:28" s="10" customFormat="1" ht="12.75" hidden="1">
      <c r="V81" s="11" t="e">
        <f aca="true" t="shared" si="49" ref="V81:AB81">IF($B$17-V$24+$U$24&gt;=0,SLN($V$111+$V$114,0,$B$17),0)</f>
        <v>#VALUE!</v>
      </c>
      <c r="W81" s="11" t="e">
        <f t="shared" si="49"/>
        <v>#VALUE!</v>
      </c>
      <c r="X81" s="11" t="e">
        <f t="shared" si="49"/>
        <v>#VALUE!</v>
      </c>
      <c r="Y81" s="11" t="e">
        <f t="shared" si="49"/>
        <v>#VALUE!</v>
      </c>
      <c r="Z81" s="11" t="e">
        <f t="shared" si="49"/>
        <v>#VALUE!</v>
      </c>
      <c r="AA81" s="11" t="e">
        <f t="shared" si="49"/>
        <v>#VALUE!</v>
      </c>
      <c r="AB81" s="11" t="e">
        <f t="shared" si="49"/>
        <v>#VALUE!</v>
      </c>
    </row>
    <row r="82" spans="23:28" s="10" customFormat="1" ht="12.75" hidden="1">
      <c r="W82" s="11" t="e">
        <f aca="true" t="shared" si="50" ref="W82:AB82">IF($B$17-W$24+$V$24&gt;=0,SLN($W$111+$W$114,0,$B$17),0)</f>
        <v>#VALUE!</v>
      </c>
      <c r="X82" s="11" t="e">
        <f t="shared" si="50"/>
        <v>#VALUE!</v>
      </c>
      <c r="Y82" s="11" t="e">
        <f t="shared" si="50"/>
        <v>#VALUE!</v>
      </c>
      <c r="Z82" s="11" t="e">
        <f t="shared" si="50"/>
        <v>#VALUE!</v>
      </c>
      <c r="AA82" s="11" t="e">
        <f t="shared" si="50"/>
        <v>#VALUE!</v>
      </c>
      <c r="AB82" s="11" t="e">
        <f t="shared" si="50"/>
        <v>#VALUE!</v>
      </c>
    </row>
    <row r="83" spans="24:28" s="10" customFormat="1" ht="12.75" hidden="1">
      <c r="X83" s="11" t="e">
        <f>IF($B$17-X$24+$W$24&gt;=0,SLN($X$111+$X$114,0,$B$17),0)</f>
        <v>#VALUE!</v>
      </c>
      <c r="Y83" s="11" t="e">
        <f>IF($B$17-Y$24+$W$24&gt;=0,SLN($X$111+$X$114,0,$B$17),0)</f>
        <v>#VALUE!</v>
      </c>
      <c r="Z83" s="11" t="e">
        <f>IF($B$17-Z$24+$W$24&gt;=0,SLN($X$111+$X$114,0,$B$17),0)</f>
        <v>#VALUE!</v>
      </c>
      <c r="AA83" s="11" t="e">
        <f>IF($B$17-AA$24+$W$24&gt;=0,SLN($X$111+$X$114,0,$B$17),0)</f>
        <v>#VALUE!</v>
      </c>
      <c r="AB83" s="11" t="e">
        <f>IF($B$17-AB$24+$W$24&gt;=0,SLN($X$111+$X$114,0,$B$17),0)</f>
        <v>#VALUE!</v>
      </c>
    </row>
    <row r="84" spans="25:28" s="10" customFormat="1" ht="12.75" hidden="1">
      <c r="Y84" s="11" t="e">
        <f>IF($B$17-Y$24+$X$24&gt;=0,SLN($Y$111+$Y$114,0,$B$17),0)</f>
        <v>#VALUE!</v>
      </c>
      <c r="Z84" s="11" t="e">
        <f>IF($B$17-Z$24+$X$24&gt;=0,SLN($Y$111+$Y$114,0,$B$17),0)</f>
        <v>#VALUE!</v>
      </c>
      <c r="AA84" s="11" t="e">
        <f>IF($B$17-AA$24+$X$24&gt;=0,SLN($Y$111+$Y$114,0,$B$17),0)</f>
        <v>#VALUE!</v>
      </c>
      <c r="AB84" s="11" t="e">
        <f>IF($B$17-AB$24+$X$24&gt;=0,SLN($Y$111+$Y$114,0,$B$17),0)</f>
        <v>#VALUE!</v>
      </c>
    </row>
    <row r="85" spans="26:28" s="10" customFormat="1" ht="12.75" hidden="1">
      <c r="Z85" s="11" t="e">
        <f>IF($B$17-Z$24+$Y$24&gt;=0,SLN($Z$111+$Z$114,0,$B$17),0)</f>
        <v>#VALUE!</v>
      </c>
      <c r="AA85" s="11" t="e">
        <f>IF($B$17-AA$24+$Y$24&gt;=0,SLN($Z$111+$Z$114,0,$B$17),0)</f>
        <v>#VALUE!</v>
      </c>
      <c r="AB85" s="11" t="e">
        <f>IF($B$17-AB$24+$Y$24&gt;=0,SLN($Z$111+$Z$114,0,$B$17),0)</f>
        <v>#VALUE!</v>
      </c>
    </row>
    <row r="86" spans="27:28" s="10" customFormat="1" ht="12.75" hidden="1">
      <c r="AA86" s="11" t="e">
        <f>IF($B$17-AA$24+$Z$24&gt;=0,SLN($AA$111+$AA$114,0,$B$17),0)</f>
        <v>#VALUE!</v>
      </c>
      <c r="AB86" s="11" t="e">
        <f>IF($B$17-AB$24+$Z$24&gt;=0,SLN($AA$111+$AA$114,0,$B$17),0)</f>
        <v>#VALUE!</v>
      </c>
    </row>
    <row r="87" s="10" customFormat="1" ht="12.75" hidden="1">
      <c r="AB87" s="11" t="e">
        <f>IF($B$17-AB$24+$AA$24&gt;=0,SLN($AB$111+$AB$114,0,$B$17),0)</f>
        <v>#VALUE!</v>
      </c>
    </row>
    <row r="89" ht="12.75">
      <c r="A89" s="6" t="s">
        <v>50</v>
      </c>
    </row>
    <row r="90" spans="1:28" ht="12.75">
      <c r="A90" s="18" t="s">
        <v>49</v>
      </c>
      <c r="C90" s="4">
        <f aca="true" t="shared" si="51" ref="C90:AB90">C41-C58-C61</f>
        <v>-138514.774502424</v>
      </c>
      <c r="D90" s="4">
        <f t="shared" si="51"/>
        <v>-49355.24045969988</v>
      </c>
      <c r="E90" s="4">
        <f t="shared" si="51"/>
        <v>56912.040989216184</v>
      </c>
      <c r="F90" s="4">
        <f t="shared" si="51"/>
        <v>435141.98594129656</v>
      </c>
      <c r="G90" s="4">
        <f t="shared" si="51"/>
        <v>752671.636082453</v>
      </c>
      <c r="H90" s="4">
        <f t="shared" si="51"/>
        <v>1064431.2618872114</v>
      </c>
      <c r="I90" s="4">
        <f t="shared" si="51"/>
        <v>1189182.1442661947</v>
      </c>
      <c r="J90" s="4">
        <f t="shared" si="51"/>
        <v>1227798.598476456</v>
      </c>
      <c r="K90" s="4">
        <f t="shared" si="51"/>
        <v>1258024.038212752</v>
      </c>
      <c r="L90" s="4">
        <f t="shared" si="51"/>
        <v>1326107.23299806</v>
      </c>
      <c r="M90" s="4" t="e">
        <f t="shared" si="51"/>
        <v>#VALUE!</v>
      </c>
      <c r="N90" s="4" t="e">
        <f t="shared" si="51"/>
        <v>#VALUE!</v>
      </c>
      <c r="O90" s="4" t="e">
        <f t="shared" si="51"/>
        <v>#VALUE!</v>
      </c>
      <c r="P90" s="4" t="e">
        <f t="shared" si="51"/>
        <v>#VALUE!</v>
      </c>
      <c r="Q90" s="4" t="e">
        <f t="shared" si="51"/>
        <v>#VALUE!</v>
      </c>
      <c r="R90" s="4" t="e">
        <f t="shared" si="51"/>
        <v>#VALUE!</v>
      </c>
      <c r="S90" s="4" t="e">
        <f t="shared" si="51"/>
        <v>#VALUE!</v>
      </c>
      <c r="T90" s="4" t="e">
        <f t="shared" si="51"/>
        <v>#VALUE!</v>
      </c>
      <c r="U90" s="4" t="e">
        <f t="shared" si="51"/>
        <v>#VALUE!</v>
      </c>
      <c r="V90" s="4" t="e">
        <f t="shared" si="51"/>
        <v>#VALUE!</v>
      </c>
      <c r="W90" s="4" t="e">
        <f t="shared" si="51"/>
        <v>#VALUE!</v>
      </c>
      <c r="X90" s="4" t="e">
        <f t="shared" si="51"/>
        <v>#VALUE!</v>
      </c>
      <c r="Y90" s="4" t="e">
        <f t="shared" si="51"/>
        <v>#VALUE!</v>
      </c>
      <c r="Z90" s="4" t="e">
        <f t="shared" si="51"/>
        <v>#VALUE!</v>
      </c>
      <c r="AA90" s="4" t="e">
        <f t="shared" si="51"/>
        <v>#VALUE!</v>
      </c>
      <c r="AB90" s="4" t="e">
        <f t="shared" si="51"/>
        <v>#VALUE!</v>
      </c>
    </row>
    <row r="92" ht="12.75">
      <c r="A92" s="17" t="s">
        <v>52</v>
      </c>
    </row>
    <row r="93" spans="1:28" ht="12.75">
      <c r="A93" t="s">
        <v>53</v>
      </c>
      <c r="C93" s="4">
        <f aca="true" t="shared" si="52" ref="C93:AB93">$B$16*C90</f>
        <v>-55405.9098009696</v>
      </c>
      <c r="D93" s="4">
        <f t="shared" si="52"/>
        <v>-19742.096183879956</v>
      </c>
      <c r="E93" s="4">
        <f t="shared" si="52"/>
        <v>22764.816395686474</v>
      </c>
      <c r="F93" s="4">
        <f t="shared" si="52"/>
        <v>174056.79437651864</v>
      </c>
      <c r="G93" s="4">
        <f t="shared" si="52"/>
        <v>301068.6544329812</v>
      </c>
      <c r="H93" s="4">
        <f t="shared" si="52"/>
        <v>425772.5047548846</v>
      </c>
      <c r="I93" s="4">
        <f t="shared" si="52"/>
        <v>475672.85770647787</v>
      </c>
      <c r="J93" s="4">
        <f t="shared" si="52"/>
        <v>491119.43939058244</v>
      </c>
      <c r="K93" s="4">
        <f t="shared" si="52"/>
        <v>503209.6152851008</v>
      </c>
      <c r="L93" s="4">
        <f t="shared" si="52"/>
        <v>530442.893199224</v>
      </c>
      <c r="M93" s="4" t="e">
        <f t="shared" si="52"/>
        <v>#VALUE!</v>
      </c>
      <c r="N93" s="4" t="e">
        <f t="shared" si="52"/>
        <v>#VALUE!</v>
      </c>
      <c r="O93" s="4" t="e">
        <f t="shared" si="52"/>
        <v>#VALUE!</v>
      </c>
      <c r="P93" s="4" t="e">
        <f t="shared" si="52"/>
        <v>#VALUE!</v>
      </c>
      <c r="Q93" s="4" t="e">
        <f t="shared" si="52"/>
        <v>#VALUE!</v>
      </c>
      <c r="R93" s="4" t="e">
        <f t="shared" si="52"/>
        <v>#VALUE!</v>
      </c>
      <c r="S93" s="4" t="e">
        <f t="shared" si="52"/>
        <v>#VALUE!</v>
      </c>
      <c r="T93" s="4" t="e">
        <f t="shared" si="52"/>
        <v>#VALUE!</v>
      </c>
      <c r="U93" s="4" t="e">
        <f t="shared" si="52"/>
        <v>#VALUE!</v>
      </c>
      <c r="V93" s="4" t="e">
        <f t="shared" si="52"/>
        <v>#VALUE!</v>
      </c>
      <c r="W93" s="4" t="e">
        <f t="shared" si="52"/>
        <v>#VALUE!</v>
      </c>
      <c r="X93" s="4" t="e">
        <f t="shared" si="52"/>
        <v>#VALUE!</v>
      </c>
      <c r="Y93" s="4" t="e">
        <f t="shared" si="52"/>
        <v>#VALUE!</v>
      </c>
      <c r="Z93" s="4" t="e">
        <f t="shared" si="52"/>
        <v>#VALUE!</v>
      </c>
      <c r="AA93" s="4" t="e">
        <f t="shared" si="52"/>
        <v>#VALUE!</v>
      </c>
      <c r="AB93" s="4" t="e">
        <f t="shared" si="52"/>
        <v>#VALUE!</v>
      </c>
    </row>
    <row r="94" spans="1:28" ht="12.75">
      <c r="A94" t="s">
        <v>56</v>
      </c>
      <c r="C94" s="4">
        <v>0</v>
      </c>
      <c r="D94" s="4">
        <f aca="true" t="shared" si="53" ref="D94:AB94">C96</f>
        <v>-55405.9098009696</v>
      </c>
      <c r="E94" s="4">
        <f t="shared" si="53"/>
        <v>-75148.00598484956</v>
      </c>
      <c r="F94" s="4">
        <f t="shared" si="53"/>
        <v>-52383.189589163085</v>
      </c>
      <c r="G94" s="4">
        <f t="shared" si="53"/>
        <v>0</v>
      </c>
      <c r="H94" s="4">
        <f t="shared" si="53"/>
        <v>0</v>
      </c>
      <c r="I94" s="4">
        <f t="shared" si="53"/>
        <v>0</v>
      </c>
      <c r="J94" s="4">
        <f t="shared" si="53"/>
        <v>0</v>
      </c>
      <c r="K94" s="4">
        <f t="shared" si="53"/>
        <v>0</v>
      </c>
      <c r="L94" s="4">
        <f t="shared" si="53"/>
        <v>0</v>
      </c>
      <c r="M94" s="4">
        <f t="shared" si="53"/>
        <v>0</v>
      </c>
      <c r="N94" s="4" t="e">
        <f t="shared" si="53"/>
        <v>#VALUE!</v>
      </c>
      <c r="O94" s="4" t="e">
        <f t="shared" si="53"/>
        <v>#VALUE!</v>
      </c>
      <c r="P94" s="4" t="e">
        <f t="shared" si="53"/>
        <v>#VALUE!</v>
      </c>
      <c r="Q94" s="4" t="e">
        <f t="shared" si="53"/>
        <v>#VALUE!</v>
      </c>
      <c r="R94" s="4" t="e">
        <f t="shared" si="53"/>
        <v>#VALUE!</v>
      </c>
      <c r="S94" s="4" t="e">
        <f t="shared" si="53"/>
        <v>#VALUE!</v>
      </c>
      <c r="T94" s="4" t="e">
        <f t="shared" si="53"/>
        <v>#VALUE!</v>
      </c>
      <c r="U94" s="4" t="e">
        <f t="shared" si="53"/>
        <v>#VALUE!</v>
      </c>
      <c r="V94" s="4" t="e">
        <f t="shared" si="53"/>
        <v>#VALUE!</v>
      </c>
      <c r="W94" s="4" t="e">
        <f t="shared" si="53"/>
        <v>#VALUE!</v>
      </c>
      <c r="X94" s="4" t="e">
        <f t="shared" si="53"/>
        <v>#VALUE!</v>
      </c>
      <c r="Y94" s="4" t="e">
        <f t="shared" si="53"/>
        <v>#VALUE!</v>
      </c>
      <c r="Z94" s="4" t="e">
        <f t="shared" si="53"/>
        <v>#VALUE!</v>
      </c>
      <c r="AA94" s="4" t="e">
        <f t="shared" si="53"/>
        <v>#VALUE!</v>
      </c>
      <c r="AB94" s="4" t="e">
        <f t="shared" si="53"/>
        <v>#VALUE!</v>
      </c>
    </row>
    <row r="95" spans="1:28" ht="12.75">
      <c r="A95" t="s">
        <v>55</v>
      </c>
      <c r="C95" s="4">
        <f aca="true" t="shared" si="54" ref="C95:AB95">IF(C93&gt;0,IF(C93&gt;-C94,C94,-C93),0)</f>
        <v>0</v>
      </c>
      <c r="D95" s="4">
        <f t="shared" si="54"/>
        <v>0</v>
      </c>
      <c r="E95" s="4">
        <f t="shared" si="54"/>
        <v>-22764.816395686474</v>
      </c>
      <c r="F95" s="4">
        <f t="shared" si="54"/>
        <v>-52383.189589163085</v>
      </c>
      <c r="G95" s="4">
        <f t="shared" si="54"/>
        <v>0</v>
      </c>
      <c r="H95" s="4">
        <f t="shared" si="54"/>
        <v>0</v>
      </c>
      <c r="I95" s="4">
        <f t="shared" si="54"/>
        <v>0</v>
      </c>
      <c r="J95" s="4">
        <f t="shared" si="54"/>
        <v>0</v>
      </c>
      <c r="K95" s="4">
        <f t="shared" si="54"/>
        <v>0</v>
      </c>
      <c r="L95" s="4">
        <f t="shared" si="54"/>
        <v>0</v>
      </c>
      <c r="M95" s="4" t="e">
        <f t="shared" si="54"/>
        <v>#VALUE!</v>
      </c>
      <c r="N95" s="4" t="e">
        <f t="shared" si="54"/>
        <v>#VALUE!</v>
      </c>
      <c r="O95" s="4" t="e">
        <f t="shared" si="54"/>
        <v>#VALUE!</v>
      </c>
      <c r="P95" s="4" t="e">
        <f t="shared" si="54"/>
        <v>#VALUE!</v>
      </c>
      <c r="Q95" s="4" t="e">
        <f t="shared" si="54"/>
        <v>#VALUE!</v>
      </c>
      <c r="R95" s="4" t="e">
        <f t="shared" si="54"/>
        <v>#VALUE!</v>
      </c>
      <c r="S95" s="4" t="e">
        <f t="shared" si="54"/>
        <v>#VALUE!</v>
      </c>
      <c r="T95" s="4" t="e">
        <f t="shared" si="54"/>
        <v>#VALUE!</v>
      </c>
      <c r="U95" s="4" t="e">
        <f t="shared" si="54"/>
        <v>#VALUE!</v>
      </c>
      <c r="V95" s="4" t="e">
        <f t="shared" si="54"/>
        <v>#VALUE!</v>
      </c>
      <c r="W95" s="4" t="e">
        <f t="shared" si="54"/>
        <v>#VALUE!</v>
      </c>
      <c r="X95" s="4" t="e">
        <f t="shared" si="54"/>
        <v>#VALUE!</v>
      </c>
      <c r="Y95" s="4" t="e">
        <f t="shared" si="54"/>
        <v>#VALUE!</v>
      </c>
      <c r="Z95" s="4" t="e">
        <f t="shared" si="54"/>
        <v>#VALUE!</v>
      </c>
      <c r="AA95" s="4" t="e">
        <f t="shared" si="54"/>
        <v>#VALUE!</v>
      </c>
      <c r="AB95" s="4" t="e">
        <f t="shared" si="54"/>
        <v>#VALUE!</v>
      </c>
    </row>
    <row r="96" spans="1:28" s="7" customFormat="1" ht="12.75">
      <c r="A96" s="7" t="s">
        <v>57</v>
      </c>
      <c r="C96" s="8">
        <f aca="true" t="shared" si="55" ref="C96:AB96">IF(C93&lt;0,C93,0)+C94-C95</f>
        <v>-55405.9098009696</v>
      </c>
      <c r="D96" s="8">
        <f t="shared" si="55"/>
        <v>-75148.00598484956</v>
      </c>
      <c r="E96" s="8">
        <f t="shared" si="55"/>
        <v>-52383.189589163085</v>
      </c>
      <c r="F96" s="8">
        <f t="shared" si="55"/>
        <v>0</v>
      </c>
      <c r="G96" s="8">
        <f t="shared" si="55"/>
        <v>0</v>
      </c>
      <c r="H96" s="8">
        <f t="shared" si="55"/>
        <v>0</v>
      </c>
      <c r="I96" s="8">
        <f t="shared" si="55"/>
        <v>0</v>
      </c>
      <c r="J96" s="8">
        <f t="shared" si="55"/>
        <v>0</v>
      </c>
      <c r="K96" s="8">
        <f t="shared" si="55"/>
        <v>0</v>
      </c>
      <c r="L96" s="8">
        <f t="shared" si="55"/>
        <v>0</v>
      </c>
      <c r="M96" s="8" t="e">
        <f t="shared" si="55"/>
        <v>#VALUE!</v>
      </c>
      <c r="N96" s="8" t="e">
        <f t="shared" si="55"/>
        <v>#VALUE!</v>
      </c>
      <c r="O96" s="8" t="e">
        <f t="shared" si="55"/>
        <v>#VALUE!</v>
      </c>
      <c r="P96" s="8" t="e">
        <f t="shared" si="55"/>
        <v>#VALUE!</v>
      </c>
      <c r="Q96" s="8" t="e">
        <f t="shared" si="55"/>
        <v>#VALUE!</v>
      </c>
      <c r="R96" s="8" t="e">
        <f t="shared" si="55"/>
        <v>#VALUE!</v>
      </c>
      <c r="S96" s="8" t="e">
        <f t="shared" si="55"/>
        <v>#VALUE!</v>
      </c>
      <c r="T96" s="8" t="e">
        <f t="shared" si="55"/>
        <v>#VALUE!</v>
      </c>
      <c r="U96" s="8" t="e">
        <f t="shared" si="55"/>
        <v>#VALUE!</v>
      </c>
      <c r="V96" s="8" t="e">
        <f t="shared" si="55"/>
        <v>#VALUE!</v>
      </c>
      <c r="W96" s="8" t="e">
        <f t="shared" si="55"/>
        <v>#VALUE!</v>
      </c>
      <c r="X96" s="8" t="e">
        <f t="shared" si="55"/>
        <v>#VALUE!</v>
      </c>
      <c r="Y96" s="8" t="e">
        <f t="shared" si="55"/>
        <v>#VALUE!</v>
      </c>
      <c r="Z96" s="8" t="e">
        <f t="shared" si="55"/>
        <v>#VALUE!</v>
      </c>
      <c r="AA96" s="8" t="e">
        <f t="shared" si="55"/>
        <v>#VALUE!</v>
      </c>
      <c r="AB96" s="8" t="e">
        <f t="shared" si="55"/>
        <v>#VALUE!</v>
      </c>
    </row>
    <row r="97" spans="1:28" ht="12.75">
      <c r="A97" t="s">
        <v>54</v>
      </c>
      <c r="C97" s="4">
        <f aca="true" t="shared" si="56" ref="C97:AB97">IF(C93&gt;=0,C93+C95,0)</f>
        <v>0</v>
      </c>
      <c r="D97" s="4">
        <f t="shared" si="56"/>
        <v>0</v>
      </c>
      <c r="E97" s="4">
        <f t="shared" si="56"/>
        <v>0</v>
      </c>
      <c r="F97" s="4">
        <f t="shared" si="56"/>
        <v>121673.60478735555</v>
      </c>
      <c r="G97" s="4">
        <f t="shared" si="56"/>
        <v>301068.6544329812</v>
      </c>
      <c r="H97" s="4">
        <f t="shared" si="56"/>
        <v>425772.5047548846</v>
      </c>
      <c r="I97" s="4">
        <f t="shared" si="56"/>
        <v>475672.85770647787</v>
      </c>
      <c r="J97" s="4">
        <f t="shared" si="56"/>
        <v>491119.43939058244</v>
      </c>
      <c r="K97" s="4">
        <f t="shared" si="56"/>
        <v>503209.6152851008</v>
      </c>
      <c r="L97" s="4">
        <f t="shared" si="56"/>
        <v>530442.893199224</v>
      </c>
      <c r="M97" s="4" t="e">
        <f t="shared" si="56"/>
        <v>#VALUE!</v>
      </c>
      <c r="N97" s="4" t="e">
        <f t="shared" si="56"/>
        <v>#VALUE!</v>
      </c>
      <c r="O97" s="4" t="e">
        <f t="shared" si="56"/>
        <v>#VALUE!</v>
      </c>
      <c r="P97" s="4" t="e">
        <f t="shared" si="56"/>
        <v>#VALUE!</v>
      </c>
      <c r="Q97" s="4" t="e">
        <f t="shared" si="56"/>
        <v>#VALUE!</v>
      </c>
      <c r="R97" s="4" t="e">
        <f t="shared" si="56"/>
        <v>#VALUE!</v>
      </c>
      <c r="S97" s="4" t="e">
        <f t="shared" si="56"/>
        <v>#VALUE!</v>
      </c>
      <c r="T97" s="4" t="e">
        <f t="shared" si="56"/>
        <v>#VALUE!</v>
      </c>
      <c r="U97" s="4" t="e">
        <f t="shared" si="56"/>
        <v>#VALUE!</v>
      </c>
      <c r="V97" s="4" t="e">
        <f t="shared" si="56"/>
        <v>#VALUE!</v>
      </c>
      <c r="W97" s="4" t="e">
        <f t="shared" si="56"/>
        <v>#VALUE!</v>
      </c>
      <c r="X97" s="4" t="e">
        <f t="shared" si="56"/>
        <v>#VALUE!</v>
      </c>
      <c r="Y97" s="4" t="e">
        <f t="shared" si="56"/>
        <v>#VALUE!</v>
      </c>
      <c r="Z97" s="4" t="e">
        <f t="shared" si="56"/>
        <v>#VALUE!</v>
      </c>
      <c r="AA97" s="4" t="e">
        <f t="shared" si="56"/>
        <v>#VALUE!</v>
      </c>
      <c r="AB97" s="4" t="e">
        <f t="shared" si="56"/>
        <v>#VALUE!</v>
      </c>
    </row>
    <row r="99" ht="12.75">
      <c r="A99" s="6" t="s">
        <v>58</v>
      </c>
    </row>
    <row r="100" spans="1:28" ht="12.75">
      <c r="A100" s="18" t="s">
        <v>59</v>
      </c>
      <c r="C100" s="4">
        <f aca="true" t="shared" si="57" ref="C100:AB100">C90-C97</f>
        <v>-138514.774502424</v>
      </c>
      <c r="D100" s="4">
        <f t="shared" si="57"/>
        <v>-49355.24045969988</v>
      </c>
      <c r="E100" s="4">
        <f t="shared" si="57"/>
        <v>56912.040989216184</v>
      </c>
      <c r="F100" s="4">
        <f t="shared" si="57"/>
        <v>313468.38115394104</v>
      </c>
      <c r="G100" s="4">
        <f t="shared" si="57"/>
        <v>451602.98164947174</v>
      </c>
      <c r="H100" s="4">
        <f t="shared" si="57"/>
        <v>638658.7571323267</v>
      </c>
      <c r="I100" s="4">
        <f t="shared" si="57"/>
        <v>713509.2865597168</v>
      </c>
      <c r="J100" s="4">
        <f t="shared" si="57"/>
        <v>736679.1590858735</v>
      </c>
      <c r="K100" s="4">
        <f t="shared" si="57"/>
        <v>754814.4229276511</v>
      </c>
      <c r="L100" s="4">
        <f t="shared" si="57"/>
        <v>795664.339798836</v>
      </c>
      <c r="M100" s="4" t="e">
        <f t="shared" si="57"/>
        <v>#VALUE!</v>
      </c>
      <c r="N100" s="4" t="e">
        <f t="shared" si="57"/>
        <v>#VALUE!</v>
      </c>
      <c r="O100" s="4" t="e">
        <f t="shared" si="57"/>
        <v>#VALUE!</v>
      </c>
      <c r="P100" s="4" t="e">
        <f t="shared" si="57"/>
        <v>#VALUE!</v>
      </c>
      <c r="Q100" s="4" t="e">
        <f t="shared" si="57"/>
        <v>#VALUE!</v>
      </c>
      <c r="R100" s="4" t="e">
        <f t="shared" si="57"/>
        <v>#VALUE!</v>
      </c>
      <c r="S100" s="4" t="e">
        <f t="shared" si="57"/>
        <v>#VALUE!</v>
      </c>
      <c r="T100" s="4" t="e">
        <f t="shared" si="57"/>
        <v>#VALUE!</v>
      </c>
      <c r="U100" s="4" t="e">
        <f t="shared" si="57"/>
        <v>#VALUE!</v>
      </c>
      <c r="V100" s="4" t="e">
        <f t="shared" si="57"/>
        <v>#VALUE!</v>
      </c>
      <c r="W100" s="4" t="e">
        <f t="shared" si="57"/>
        <v>#VALUE!</v>
      </c>
      <c r="X100" s="4" t="e">
        <f t="shared" si="57"/>
        <v>#VALUE!</v>
      </c>
      <c r="Y100" s="4" t="e">
        <f t="shared" si="57"/>
        <v>#VALUE!</v>
      </c>
      <c r="Z100" s="4" t="e">
        <f t="shared" si="57"/>
        <v>#VALUE!</v>
      </c>
      <c r="AA100" s="4" t="e">
        <f t="shared" si="57"/>
        <v>#VALUE!</v>
      </c>
      <c r="AB100" s="4" t="e">
        <f t="shared" si="57"/>
        <v>#VALUE!</v>
      </c>
    </row>
    <row r="102" ht="12.75">
      <c r="A102" s="6" t="s">
        <v>61</v>
      </c>
    </row>
    <row r="103" spans="1:28" ht="12.75">
      <c r="A103" s="18" t="s">
        <v>60</v>
      </c>
      <c r="C103" s="4">
        <f aca="true" t="shared" si="58" ref="C103:AB103">C100+C61</f>
        <v>-102514.774502424</v>
      </c>
      <c r="D103" s="4">
        <f t="shared" si="58"/>
        <v>-13355.240459699882</v>
      </c>
      <c r="E103" s="4">
        <f t="shared" si="58"/>
        <v>92912.04098921618</v>
      </c>
      <c r="F103" s="4">
        <f t="shared" si="58"/>
        <v>349468.38115394104</v>
      </c>
      <c r="G103" s="4">
        <f t="shared" si="58"/>
        <v>487602.98164947174</v>
      </c>
      <c r="H103" s="4">
        <f t="shared" si="58"/>
        <v>643270.5537110303</v>
      </c>
      <c r="I103" s="4">
        <f t="shared" si="58"/>
        <v>718121.0831384204</v>
      </c>
      <c r="J103" s="4">
        <f t="shared" si="58"/>
        <v>741290.9556645771</v>
      </c>
      <c r="K103" s="4">
        <f t="shared" si="58"/>
        <v>759426.2195063547</v>
      </c>
      <c r="L103" s="4">
        <f t="shared" si="58"/>
        <v>800276.1363775396</v>
      </c>
      <c r="M103" s="4" t="e">
        <f t="shared" si="58"/>
        <v>#VALUE!</v>
      </c>
      <c r="N103" s="4" t="e">
        <f t="shared" si="58"/>
        <v>#VALUE!</v>
      </c>
      <c r="O103" s="4" t="e">
        <f t="shared" si="58"/>
        <v>#VALUE!</v>
      </c>
      <c r="P103" s="4" t="e">
        <f t="shared" si="58"/>
        <v>#VALUE!</v>
      </c>
      <c r="Q103" s="4" t="e">
        <f t="shared" si="58"/>
        <v>#VALUE!</v>
      </c>
      <c r="R103" s="4" t="e">
        <f t="shared" si="58"/>
        <v>#VALUE!</v>
      </c>
      <c r="S103" s="4" t="e">
        <f t="shared" si="58"/>
        <v>#VALUE!</v>
      </c>
      <c r="T103" s="4" t="e">
        <f t="shared" si="58"/>
        <v>#VALUE!</v>
      </c>
      <c r="U103" s="4" t="e">
        <f t="shared" si="58"/>
        <v>#VALUE!</v>
      </c>
      <c r="V103" s="4" t="e">
        <f t="shared" si="58"/>
        <v>#VALUE!</v>
      </c>
      <c r="W103" s="4" t="e">
        <f t="shared" si="58"/>
        <v>#VALUE!</v>
      </c>
      <c r="X103" s="4" t="e">
        <f t="shared" si="58"/>
        <v>#VALUE!</v>
      </c>
      <c r="Y103" s="4" t="e">
        <f t="shared" si="58"/>
        <v>#VALUE!</v>
      </c>
      <c r="Z103" s="4" t="e">
        <f t="shared" si="58"/>
        <v>#VALUE!</v>
      </c>
      <c r="AA103" s="4" t="e">
        <f t="shared" si="58"/>
        <v>#VALUE!</v>
      </c>
      <c r="AB103" s="4" t="e">
        <f t="shared" si="58"/>
        <v>#VALUE!</v>
      </c>
    </row>
    <row r="105" ht="12.75">
      <c r="A105" s="17" t="s">
        <v>17</v>
      </c>
    </row>
    <row r="106" ht="12.75">
      <c r="A106" s="9" t="str">
        <f>CONCATENATE("Items Subject to Replacement (",$B$17,"Years)")</f>
        <v>Items Subject to Replacement (5Years)</v>
      </c>
    </row>
    <row r="107" spans="1:28" ht="12.75">
      <c r="A107" t="s">
        <v>18</v>
      </c>
      <c r="C107" s="4">
        <f aca="true" t="shared" si="59" ref="C107:AB107">75000*C31*((1+$B$15)^(C24-1))*$B$19^(C24-1)</f>
        <v>75000</v>
      </c>
      <c r="D107" s="4">
        <f t="shared" si="59"/>
        <v>0</v>
      </c>
      <c r="E107" s="4">
        <f t="shared" si="59"/>
        <v>0</v>
      </c>
      <c r="F107" s="4">
        <f t="shared" si="59"/>
        <v>0</v>
      </c>
      <c r="G107" s="4">
        <f t="shared" si="59"/>
        <v>0</v>
      </c>
      <c r="H107" s="4">
        <f t="shared" si="59"/>
        <v>0</v>
      </c>
      <c r="I107" s="4">
        <f t="shared" si="59"/>
        <v>0</v>
      </c>
      <c r="J107" s="4">
        <f t="shared" si="59"/>
        <v>0</v>
      </c>
      <c r="K107" s="4">
        <f t="shared" si="59"/>
        <v>0</v>
      </c>
      <c r="L107" s="4">
        <f t="shared" si="59"/>
        <v>0</v>
      </c>
      <c r="M107" s="4" t="e">
        <f t="shared" si="59"/>
        <v>#VALUE!</v>
      </c>
      <c r="N107" s="4" t="e">
        <f t="shared" si="59"/>
        <v>#VALUE!</v>
      </c>
      <c r="O107" s="4" t="e">
        <f t="shared" si="59"/>
        <v>#VALUE!</v>
      </c>
      <c r="P107" s="4" t="e">
        <f t="shared" si="59"/>
        <v>#VALUE!</v>
      </c>
      <c r="Q107" s="4" t="e">
        <f t="shared" si="59"/>
        <v>#VALUE!</v>
      </c>
      <c r="R107" s="4" t="e">
        <f t="shared" si="59"/>
        <v>#VALUE!</v>
      </c>
      <c r="S107" s="4" t="e">
        <f t="shared" si="59"/>
        <v>#VALUE!</v>
      </c>
      <c r="T107" s="4" t="e">
        <f t="shared" si="59"/>
        <v>#VALUE!</v>
      </c>
      <c r="U107" s="4" t="e">
        <f t="shared" si="59"/>
        <v>#VALUE!</v>
      </c>
      <c r="V107" s="4" t="e">
        <f t="shared" si="59"/>
        <v>#VALUE!</v>
      </c>
      <c r="W107" s="4" t="e">
        <f t="shared" si="59"/>
        <v>#VALUE!</v>
      </c>
      <c r="X107" s="4" t="e">
        <f t="shared" si="59"/>
        <v>#VALUE!</v>
      </c>
      <c r="Y107" s="4" t="e">
        <f t="shared" si="59"/>
        <v>#VALUE!</v>
      </c>
      <c r="Z107" s="4" t="e">
        <f t="shared" si="59"/>
        <v>#VALUE!</v>
      </c>
      <c r="AA107" s="4" t="e">
        <f t="shared" si="59"/>
        <v>#VALUE!</v>
      </c>
      <c r="AB107" s="4" t="e">
        <f t="shared" si="59"/>
        <v>#VALUE!</v>
      </c>
    </row>
    <row r="108" spans="1:28" ht="12.75">
      <c r="A108" t="s">
        <v>21</v>
      </c>
      <c r="C108" s="4">
        <f aca="true" t="shared" si="60" ref="C108:AB108">50000*C31*((1+$B$15)^(C24-1))*$B$19^(C24-1)</f>
        <v>50000</v>
      </c>
      <c r="D108" s="4">
        <f t="shared" si="60"/>
        <v>0</v>
      </c>
      <c r="E108" s="4">
        <f t="shared" si="60"/>
        <v>0</v>
      </c>
      <c r="F108" s="4">
        <f t="shared" si="60"/>
        <v>0</v>
      </c>
      <c r="G108" s="4">
        <f t="shared" si="60"/>
        <v>0</v>
      </c>
      <c r="H108" s="4">
        <f t="shared" si="60"/>
        <v>0</v>
      </c>
      <c r="I108" s="4">
        <f t="shared" si="60"/>
        <v>0</v>
      </c>
      <c r="J108" s="4">
        <f t="shared" si="60"/>
        <v>0</v>
      </c>
      <c r="K108" s="4">
        <f t="shared" si="60"/>
        <v>0</v>
      </c>
      <c r="L108" s="4">
        <f t="shared" si="60"/>
        <v>0</v>
      </c>
      <c r="M108" s="4" t="e">
        <f t="shared" si="60"/>
        <v>#VALUE!</v>
      </c>
      <c r="N108" s="4" t="e">
        <f t="shared" si="60"/>
        <v>#VALUE!</v>
      </c>
      <c r="O108" s="4" t="e">
        <f t="shared" si="60"/>
        <v>#VALUE!</v>
      </c>
      <c r="P108" s="4" t="e">
        <f t="shared" si="60"/>
        <v>#VALUE!</v>
      </c>
      <c r="Q108" s="4" t="e">
        <f t="shared" si="60"/>
        <v>#VALUE!</v>
      </c>
      <c r="R108" s="4" t="e">
        <f t="shared" si="60"/>
        <v>#VALUE!</v>
      </c>
      <c r="S108" s="4" t="e">
        <f t="shared" si="60"/>
        <v>#VALUE!</v>
      </c>
      <c r="T108" s="4" t="e">
        <f t="shared" si="60"/>
        <v>#VALUE!</v>
      </c>
      <c r="U108" s="4" t="e">
        <f t="shared" si="60"/>
        <v>#VALUE!</v>
      </c>
      <c r="V108" s="4" t="e">
        <f t="shared" si="60"/>
        <v>#VALUE!</v>
      </c>
      <c r="W108" s="4" t="e">
        <f t="shared" si="60"/>
        <v>#VALUE!</v>
      </c>
      <c r="X108" s="4" t="e">
        <f t="shared" si="60"/>
        <v>#VALUE!</v>
      </c>
      <c r="Y108" s="4" t="e">
        <f t="shared" si="60"/>
        <v>#VALUE!</v>
      </c>
      <c r="Z108" s="4" t="e">
        <f t="shared" si="60"/>
        <v>#VALUE!</v>
      </c>
      <c r="AA108" s="4" t="e">
        <f t="shared" si="60"/>
        <v>#VALUE!</v>
      </c>
      <c r="AB108" s="4" t="e">
        <f t="shared" si="60"/>
        <v>#VALUE!</v>
      </c>
    </row>
    <row r="109" spans="1:28" ht="12.75">
      <c r="A109" t="s">
        <v>22</v>
      </c>
      <c r="C109" s="4">
        <f aca="true" t="shared" si="61" ref="C109:AB109">5000*C31*((1+$B$15)^(C24-1))*$B$19^(C24-1)</f>
        <v>5000</v>
      </c>
      <c r="D109" s="4">
        <f t="shared" si="61"/>
        <v>0</v>
      </c>
      <c r="E109" s="4">
        <f t="shared" si="61"/>
        <v>0</v>
      </c>
      <c r="F109" s="4">
        <f t="shared" si="61"/>
        <v>0</v>
      </c>
      <c r="G109" s="4">
        <f t="shared" si="61"/>
        <v>0</v>
      </c>
      <c r="H109" s="4">
        <f t="shared" si="61"/>
        <v>0</v>
      </c>
      <c r="I109" s="4">
        <f t="shared" si="61"/>
        <v>0</v>
      </c>
      <c r="J109" s="4">
        <f t="shared" si="61"/>
        <v>0</v>
      </c>
      <c r="K109" s="4">
        <f t="shared" si="61"/>
        <v>0</v>
      </c>
      <c r="L109" s="4">
        <f t="shared" si="61"/>
        <v>0</v>
      </c>
      <c r="M109" s="4" t="e">
        <f t="shared" si="61"/>
        <v>#VALUE!</v>
      </c>
      <c r="N109" s="4" t="e">
        <f t="shared" si="61"/>
        <v>#VALUE!</v>
      </c>
      <c r="O109" s="4" t="e">
        <f t="shared" si="61"/>
        <v>#VALUE!</v>
      </c>
      <c r="P109" s="4" t="e">
        <f t="shared" si="61"/>
        <v>#VALUE!</v>
      </c>
      <c r="Q109" s="4" t="e">
        <f t="shared" si="61"/>
        <v>#VALUE!</v>
      </c>
      <c r="R109" s="4" t="e">
        <f t="shared" si="61"/>
        <v>#VALUE!</v>
      </c>
      <c r="S109" s="4" t="e">
        <f t="shared" si="61"/>
        <v>#VALUE!</v>
      </c>
      <c r="T109" s="4" t="e">
        <f t="shared" si="61"/>
        <v>#VALUE!</v>
      </c>
      <c r="U109" s="4" t="e">
        <f t="shared" si="61"/>
        <v>#VALUE!</v>
      </c>
      <c r="V109" s="4" t="e">
        <f t="shared" si="61"/>
        <v>#VALUE!</v>
      </c>
      <c r="W109" s="4" t="e">
        <f t="shared" si="61"/>
        <v>#VALUE!</v>
      </c>
      <c r="X109" s="4" t="e">
        <f t="shared" si="61"/>
        <v>#VALUE!</v>
      </c>
      <c r="Y109" s="4" t="e">
        <f t="shared" si="61"/>
        <v>#VALUE!</v>
      </c>
      <c r="Z109" s="4" t="e">
        <f t="shared" si="61"/>
        <v>#VALUE!</v>
      </c>
      <c r="AA109" s="4" t="e">
        <f t="shared" si="61"/>
        <v>#VALUE!</v>
      </c>
      <c r="AB109" s="4" t="e">
        <f t="shared" si="61"/>
        <v>#VALUE!</v>
      </c>
    </row>
    <row r="110" spans="1:28" ht="12.75">
      <c r="A110" t="s">
        <v>23</v>
      </c>
      <c r="C110" s="4">
        <f>(50000*((1+$B$15)^(C24-1))*$B$19^(C24-1))*CEILING(C29/($B$18*45/30),1)</f>
        <v>50000</v>
      </c>
      <c r="D110" s="4">
        <f aca="true" t="shared" si="62" ref="D110:AB110">(50000*((1+$B$15)^(C24-1))*$B$19^(C24-1))*(CEILING(D29/($B$18*45/30),1)-CEILING(C29/($B$18*45/30),1))</f>
        <v>0</v>
      </c>
      <c r="E110" s="4">
        <f t="shared" si="62"/>
        <v>0</v>
      </c>
      <c r="F110" s="4">
        <f t="shared" si="62"/>
        <v>0</v>
      </c>
      <c r="G110" s="4">
        <f t="shared" si="62"/>
        <v>0</v>
      </c>
      <c r="H110" s="4">
        <f t="shared" si="62"/>
        <v>0</v>
      </c>
      <c r="I110" s="4">
        <f t="shared" si="62"/>
        <v>0</v>
      </c>
      <c r="J110" s="4">
        <f t="shared" si="62"/>
        <v>0</v>
      </c>
      <c r="K110" s="4">
        <f t="shared" si="62"/>
        <v>0</v>
      </c>
      <c r="L110" s="4">
        <f t="shared" si="62"/>
        <v>0</v>
      </c>
      <c r="M110" s="4" t="e">
        <f t="shared" si="62"/>
        <v>#VALUE!</v>
      </c>
      <c r="N110" s="4" t="e">
        <f t="shared" si="62"/>
        <v>#VALUE!</v>
      </c>
      <c r="O110" s="4" t="e">
        <f t="shared" si="62"/>
        <v>#VALUE!</v>
      </c>
      <c r="P110" s="4" t="e">
        <f t="shared" si="62"/>
        <v>#VALUE!</v>
      </c>
      <c r="Q110" s="4" t="e">
        <f t="shared" si="62"/>
        <v>#VALUE!</v>
      </c>
      <c r="R110" s="4" t="e">
        <f t="shared" si="62"/>
        <v>#VALUE!</v>
      </c>
      <c r="S110" s="4" t="e">
        <f t="shared" si="62"/>
        <v>#VALUE!</v>
      </c>
      <c r="T110" s="4" t="e">
        <f t="shared" si="62"/>
        <v>#VALUE!</v>
      </c>
      <c r="U110" s="4" t="e">
        <f t="shared" si="62"/>
        <v>#VALUE!</v>
      </c>
      <c r="V110" s="4" t="e">
        <f t="shared" si="62"/>
        <v>#VALUE!</v>
      </c>
      <c r="W110" s="4" t="e">
        <f t="shared" si="62"/>
        <v>#VALUE!</v>
      </c>
      <c r="X110" s="4" t="e">
        <f t="shared" si="62"/>
        <v>#VALUE!</v>
      </c>
      <c r="Y110" s="4" t="e">
        <f t="shared" si="62"/>
        <v>#VALUE!</v>
      </c>
      <c r="Z110" s="4" t="e">
        <f t="shared" si="62"/>
        <v>#VALUE!</v>
      </c>
      <c r="AA110" s="4" t="e">
        <f t="shared" si="62"/>
        <v>#VALUE!</v>
      </c>
      <c r="AB110" s="4" t="e">
        <f t="shared" si="62"/>
        <v>#VALUE!</v>
      </c>
    </row>
    <row r="111" spans="1:28" s="14" customFormat="1" ht="12.75">
      <c r="A111" s="14" t="s">
        <v>27</v>
      </c>
      <c r="C111" s="15">
        <f aca="true" t="shared" si="63" ref="C111:AB111">SUM(C107:C110)</f>
        <v>180000</v>
      </c>
      <c r="D111" s="15">
        <f t="shared" si="63"/>
        <v>0</v>
      </c>
      <c r="E111" s="15">
        <f t="shared" si="63"/>
        <v>0</v>
      </c>
      <c r="F111" s="15">
        <f t="shared" si="63"/>
        <v>0</v>
      </c>
      <c r="G111" s="15">
        <f t="shared" si="63"/>
        <v>0</v>
      </c>
      <c r="H111" s="15">
        <f t="shared" si="63"/>
        <v>0</v>
      </c>
      <c r="I111" s="15">
        <f t="shared" si="63"/>
        <v>0</v>
      </c>
      <c r="J111" s="15">
        <f t="shared" si="63"/>
        <v>0</v>
      </c>
      <c r="K111" s="15">
        <f t="shared" si="63"/>
        <v>0</v>
      </c>
      <c r="L111" s="15">
        <f t="shared" si="63"/>
        <v>0</v>
      </c>
      <c r="M111" s="15" t="e">
        <f t="shared" si="63"/>
        <v>#VALUE!</v>
      </c>
      <c r="N111" s="15" t="e">
        <f t="shared" si="63"/>
        <v>#VALUE!</v>
      </c>
      <c r="O111" s="15" t="e">
        <f t="shared" si="63"/>
        <v>#VALUE!</v>
      </c>
      <c r="P111" s="15" t="e">
        <f t="shared" si="63"/>
        <v>#VALUE!</v>
      </c>
      <c r="Q111" s="15" t="e">
        <f t="shared" si="63"/>
        <v>#VALUE!</v>
      </c>
      <c r="R111" s="15" t="e">
        <f t="shared" si="63"/>
        <v>#VALUE!</v>
      </c>
      <c r="S111" s="15" t="e">
        <f t="shared" si="63"/>
        <v>#VALUE!</v>
      </c>
      <c r="T111" s="15" t="e">
        <f t="shared" si="63"/>
        <v>#VALUE!</v>
      </c>
      <c r="U111" s="15" t="e">
        <f t="shared" si="63"/>
        <v>#VALUE!</v>
      </c>
      <c r="V111" s="15" t="e">
        <f t="shared" si="63"/>
        <v>#VALUE!</v>
      </c>
      <c r="W111" s="15" t="e">
        <f t="shared" si="63"/>
        <v>#VALUE!</v>
      </c>
      <c r="X111" s="15" t="e">
        <f t="shared" si="63"/>
        <v>#VALUE!</v>
      </c>
      <c r="Y111" s="15" t="e">
        <f t="shared" si="63"/>
        <v>#VALUE!</v>
      </c>
      <c r="Z111" s="15" t="e">
        <f t="shared" si="63"/>
        <v>#VALUE!</v>
      </c>
      <c r="AA111" s="15" t="e">
        <f t="shared" si="63"/>
        <v>#VALUE!</v>
      </c>
      <c r="AB111" s="15" t="e">
        <f t="shared" si="63"/>
        <v>#VALUE!</v>
      </c>
    </row>
    <row r="112" spans="1:28" s="10" customFormat="1" ht="12.75">
      <c r="A112" s="9" t="str">
        <f>CONCATENATE("Replacement Items (",$B$17,"Years)")</f>
        <v>Replacement Items (5Years)</v>
      </c>
      <c r="C112" s="11"/>
      <c r="D112" s="12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7" customFormat="1" ht="12.75">
      <c r="A113" s="13" t="s">
        <v>28</v>
      </c>
      <c r="C113" s="8">
        <f aca="true" t="shared" si="64" ref="C113:AB113">(1+$B$15)^(C24-1)*$B$19^(C24-1)*IF($B$17-C24&lt;0,INDEX($C$111:$AB$111,1,COLUMN(C24)-$B$17-2),0)</f>
        <v>0</v>
      </c>
      <c r="D113" s="8">
        <f t="shared" si="64"/>
        <v>0</v>
      </c>
      <c r="E113" s="8">
        <f t="shared" si="64"/>
        <v>0</v>
      </c>
      <c r="F113" s="8">
        <f t="shared" si="64"/>
        <v>0</v>
      </c>
      <c r="G113" s="8">
        <f t="shared" si="64"/>
        <v>0</v>
      </c>
      <c r="H113" s="8">
        <f t="shared" si="64"/>
        <v>23058.982893517743</v>
      </c>
      <c r="I113" s="8">
        <f t="shared" si="64"/>
        <v>0</v>
      </c>
      <c r="J113" s="8">
        <f t="shared" si="64"/>
        <v>0</v>
      </c>
      <c r="K113" s="8">
        <f t="shared" si="64"/>
        <v>0</v>
      </c>
      <c r="L113" s="8">
        <f t="shared" si="64"/>
        <v>0</v>
      </c>
      <c r="M113" s="8" t="e">
        <f t="shared" si="64"/>
        <v>#VALUE!</v>
      </c>
      <c r="N113" s="8" t="e">
        <f t="shared" si="64"/>
        <v>#VALUE!</v>
      </c>
      <c r="O113" s="8" t="e">
        <f t="shared" si="64"/>
        <v>#VALUE!</v>
      </c>
      <c r="P113" s="8" t="e">
        <f t="shared" si="64"/>
        <v>#VALUE!</v>
      </c>
      <c r="Q113" s="8" t="e">
        <f t="shared" si="64"/>
        <v>#VALUE!</v>
      </c>
      <c r="R113" s="8" t="e">
        <f t="shared" si="64"/>
        <v>#VALUE!</v>
      </c>
      <c r="S113" s="8" t="e">
        <f t="shared" si="64"/>
        <v>#VALUE!</v>
      </c>
      <c r="T113" s="8" t="e">
        <f t="shared" si="64"/>
        <v>#VALUE!</v>
      </c>
      <c r="U113" s="8" t="e">
        <f t="shared" si="64"/>
        <v>#VALUE!</v>
      </c>
      <c r="V113" s="8" t="e">
        <f t="shared" si="64"/>
        <v>#VALUE!</v>
      </c>
      <c r="W113" s="8" t="e">
        <f t="shared" si="64"/>
        <v>#VALUE!</v>
      </c>
      <c r="X113" s="8" t="e">
        <f t="shared" si="64"/>
        <v>#VALUE!</v>
      </c>
      <c r="Y113" s="8" t="e">
        <f t="shared" si="64"/>
        <v>#VALUE!</v>
      </c>
      <c r="Z113" s="8" t="e">
        <f t="shared" si="64"/>
        <v>#VALUE!</v>
      </c>
      <c r="AA113" s="8" t="e">
        <f t="shared" si="64"/>
        <v>#VALUE!</v>
      </c>
      <c r="AB113" s="8" t="e">
        <f t="shared" si="64"/>
        <v>#VALUE!</v>
      </c>
    </row>
    <row r="114" spans="1:28" ht="12.75">
      <c r="A114" t="s">
        <v>27</v>
      </c>
      <c r="C114" s="4">
        <f aca="true" t="shared" si="65" ref="C114:AB114">C113</f>
        <v>0</v>
      </c>
      <c r="D114" s="4">
        <f t="shared" si="65"/>
        <v>0</v>
      </c>
      <c r="E114" s="4">
        <f t="shared" si="65"/>
        <v>0</v>
      </c>
      <c r="F114" s="4">
        <f t="shared" si="65"/>
        <v>0</v>
      </c>
      <c r="G114" s="4">
        <f t="shared" si="65"/>
        <v>0</v>
      </c>
      <c r="H114" s="4">
        <f t="shared" si="65"/>
        <v>23058.982893517743</v>
      </c>
      <c r="I114" s="4">
        <f t="shared" si="65"/>
        <v>0</v>
      </c>
      <c r="J114" s="4">
        <f t="shared" si="65"/>
        <v>0</v>
      </c>
      <c r="K114" s="4">
        <f t="shared" si="65"/>
        <v>0</v>
      </c>
      <c r="L114" s="4">
        <f t="shared" si="65"/>
        <v>0</v>
      </c>
      <c r="M114" s="4" t="e">
        <f t="shared" si="65"/>
        <v>#VALUE!</v>
      </c>
      <c r="N114" s="4" t="e">
        <f t="shared" si="65"/>
        <v>#VALUE!</v>
      </c>
      <c r="O114" s="4" t="e">
        <f t="shared" si="65"/>
        <v>#VALUE!</v>
      </c>
      <c r="P114" s="4" t="e">
        <f t="shared" si="65"/>
        <v>#VALUE!</v>
      </c>
      <c r="Q114" s="4" t="e">
        <f t="shared" si="65"/>
        <v>#VALUE!</v>
      </c>
      <c r="R114" s="4" t="e">
        <f t="shared" si="65"/>
        <v>#VALUE!</v>
      </c>
      <c r="S114" s="4" t="e">
        <f t="shared" si="65"/>
        <v>#VALUE!</v>
      </c>
      <c r="T114" s="4" t="e">
        <f t="shared" si="65"/>
        <v>#VALUE!</v>
      </c>
      <c r="U114" s="4" t="e">
        <f t="shared" si="65"/>
        <v>#VALUE!</v>
      </c>
      <c r="V114" s="4" t="e">
        <f t="shared" si="65"/>
        <v>#VALUE!</v>
      </c>
      <c r="W114" s="4" t="e">
        <f t="shared" si="65"/>
        <v>#VALUE!</v>
      </c>
      <c r="X114" s="4" t="e">
        <f t="shared" si="65"/>
        <v>#VALUE!</v>
      </c>
      <c r="Y114" s="4" t="e">
        <f t="shared" si="65"/>
        <v>#VALUE!</v>
      </c>
      <c r="Z114" s="4" t="e">
        <f t="shared" si="65"/>
        <v>#VALUE!</v>
      </c>
      <c r="AA114" s="4" t="e">
        <f t="shared" si="65"/>
        <v>#VALUE!</v>
      </c>
      <c r="AB114" s="4" t="e">
        <f t="shared" si="65"/>
        <v>#VALUE!</v>
      </c>
    </row>
    <row r="115" spans="1:28" ht="12.75">
      <c r="A115" s="9" t="s">
        <v>26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75">
      <c r="A116" t="s">
        <v>24</v>
      </c>
      <c r="C116" s="4">
        <f>(50000*(1+$B$15)^(C24-1))*CEILING(C29/($B$18*45/30),1)</f>
        <v>50000</v>
      </c>
      <c r="D116" s="4">
        <f aca="true" t="shared" si="66" ref="D116:AB116">(50000*(1+$B$15)^(C24-1))*(CEILING(D29/($B$18*45/30),1)-CEILING(C29/($B$18*45/30),1))</f>
        <v>0</v>
      </c>
      <c r="E116" s="4">
        <f t="shared" si="66"/>
        <v>0</v>
      </c>
      <c r="F116" s="4">
        <f t="shared" si="66"/>
        <v>0</v>
      </c>
      <c r="G116" s="4">
        <f t="shared" si="66"/>
        <v>0</v>
      </c>
      <c r="H116" s="4">
        <f t="shared" si="66"/>
        <v>0</v>
      </c>
      <c r="I116" s="4">
        <f t="shared" si="66"/>
        <v>0</v>
      </c>
      <c r="J116" s="4">
        <f t="shared" si="66"/>
        <v>0</v>
      </c>
      <c r="K116" s="4">
        <f t="shared" si="66"/>
        <v>0</v>
      </c>
      <c r="L116" s="4">
        <f t="shared" si="66"/>
        <v>0</v>
      </c>
      <c r="M116" s="4" t="e">
        <f t="shared" si="66"/>
        <v>#VALUE!</v>
      </c>
      <c r="N116" s="4" t="e">
        <f t="shared" si="66"/>
        <v>#VALUE!</v>
      </c>
      <c r="O116" s="4" t="e">
        <f t="shared" si="66"/>
        <v>#VALUE!</v>
      </c>
      <c r="P116" s="4" t="e">
        <f t="shared" si="66"/>
        <v>#VALUE!</v>
      </c>
      <c r="Q116" s="4" t="e">
        <f t="shared" si="66"/>
        <v>#VALUE!</v>
      </c>
      <c r="R116" s="4" t="e">
        <f t="shared" si="66"/>
        <v>#VALUE!</v>
      </c>
      <c r="S116" s="4" t="e">
        <f t="shared" si="66"/>
        <v>#VALUE!</v>
      </c>
      <c r="T116" s="4" t="e">
        <f t="shared" si="66"/>
        <v>#VALUE!</v>
      </c>
      <c r="U116" s="4" t="e">
        <f t="shared" si="66"/>
        <v>#VALUE!</v>
      </c>
      <c r="V116" s="4" t="e">
        <f t="shared" si="66"/>
        <v>#VALUE!</v>
      </c>
      <c r="W116" s="4" t="e">
        <f t="shared" si="66"/>
        <v>#VALUE!</v>
      </c>
      <c r="X116" s="4" t="e">
        <f t="shared" si="66"/>
        <v>#VALUE!</v>
      </c>
      <c r="Y116" s="4" t="e">
        <f t="shared" si="66"/>
        <v>#VALUE!</v>
      </c>
      <c r="Z116" s="4" t="e">
        <f t="shared" si="66"/>
        <v>#VALUE!</v>
      </c>
      <c r="AA116" s="4" t="e">
        <f t="shared" si="66"/>
        <v>#VALUE!</v>
      </c>
      <c r="AB116" s="4" t="e">
        <f t="shared" si="66"/>
        <v>#VALUE!</v>
      </c>
    </row>
    <row r="117" spans="1:28" s="14" customFormat="1" ht="12.75">
      <c r="A117" s="14" t="s">
        <v>27</v>
      </c>
      <c r="C117" s="15">
        <f aca="true" t="shared" si="67" ref="C117:AB117">SUM(C116:C116)</f>
        <v>50000</v>
      </c>
      <c r="D117" s="15">
        <f t="shared" si="67"/>
        <v>0</v>
      </c>
      <c r="E117" s="15">
        <f t="shared" si="67"/>
        <v>0</v>
      </c>
      <c r="F117" s="15">
        <f t="shared" si="67"/>
        <v>0</v>
      </c>
      <c r="G117" s="15">
        <f t="shared" si="67"/>
        <v>0</v>
      </c>
      <c r="H117" s="15">
        <f t="shared" si="67"/>
        <v>0</v>
      </c>
      <c r="I117" s="15">
        <f t="shared" si="67"/>
        <v>0</v>
      </c>
      <c r="J117" s="15">
        <f t="shared" si="67"/>
        <v>0</v>
      </c>
      <c r="K117" s="15">
        <f t="shared" si="67"/>
        <v>0</v>
      </c>
      <c r="L117" s="15">
        <f t="shared" si="67"/>
        <v>0</v>
      </c>
      <c r="M117" s="15" t="e">
        <f t="shared" si="67"/>
        <v>#VALUE!</v>
      </c>
      <c r="N117" s="15" t="e">
        <f t="shared" si="67"/>
        <v>#VALUE!</v>
      </c>
      <c r="O117" s="15" t="e">
        <f t="shared" si="67"/>
        <v>#VALUE!</v>
      </c>
      <c r="P117" s="15" t="e">
        <f t="shared" si="67"/>
        <v>#VALUE!</v>
      </c>
      <c r="Q117" s="15" t="e">
        <f t="shared" si="67"/>
        <v>#VALUE!</v>
      </c>
      <c r="R117" s="15" t="e">
        <f t="shared" si="67"/>
        <v>#VALUE!</v>
      </c>
      <c r="S117" s="15" t="e">
        <f t="shared" si="67"/>
        <v>#VALUE!</v>
      </c>
      <c r="T117" s="15" t="e">
        <f t="shared" si="67"/>
        <v>#VALUE!</v>
      </c>
      <c r="U117" s="15" t="e">
        <f t="shared" si="67"/>
        <v>#VALUE!</v>
      </c>
      <c r="V117" s="15" t="e">
        <f t="shared" si="67"/>
        <v>#VALUE!</v>
      </c>
      <c r="W117" s="15" t="e">
        <f t="shared" si="67"/>
        <v>#VALUE!</v>
      </c>
      <c r="X117" s="15" t="e">
        <f t="shared" si="67"/>
        <v>#VALUE!</v>
      </c>
      <c r="Y117" s="15" t="e">
        <f t="shared" si="67"/>
        <v>#VALUE!</v>
      </c>
      <c r="Z117" s="15" t="e">
        <f t="shared" si="67"/>
        <v>#VALUE!</v>
      </c>
      <c r="AA117" s="15" t="e">
        <f t="shared" si="67"/>
        <v>#VALUE!</v>
      </c>
      <c r="AB117" s="15" t="e">
        <f t="shared" si="67"/>
        <v>#VALUE!</v>
      </c>
    </row>
    <row r="118" ht="12.75">
      <c r="A118" s="9" t="s">
        <v>29</v>
      </c>
    </row>
    <row r="119" spans="1:28" ht="12.75">
      <c r="A119" t="s">
        <v>30</v>
      </c>
      <c r="C119" s="4">
        <f>$B$20*(C41-0)</f>
        <v>9786.58082156648</v>
      </c>
      <c r="D119" s="4">
        <f>$B$20*(D41-C41)</f>
        <v>19510.9825742261</v>
      </c>
      <c r="E119" s="4">
        <f aca="true" t="shared" si="68" ref="E119:AB119">$B$20*(E41-D41)</f>
        <v>37725.051075556745</v>
      </c>
      <c r="F119" s="4">
        <f t="shared" si="68"/>
        <v>46636.90068769833</v>
      </c>
      <c r="G119" s="4">
        <f t="shared" si="68"/>
        <v>36748.387458910816</v>
      </c>
      <c r="H119" s="4">
        <f t="shared" si="68"/>
        <v>23281.68845906081</v>
      </c>
      <c r="I119" s="4">
        <f t="shared" si="68"/>
        <v>13209.102615678288</v>
      </c>
      <c r="J119" s="4">
        <f t="shared" si="68"/>
        <v>9837.454217937915</v>
      </c>
      <c r="K119" s="4">
        <f t="shared" si="68"/>
        <v>6169.884104867443</v>
      </c>
      <c r="L119" s="4">
        <f t="shared" si="68"/>
        <v>1213.591676870943</v>
      </c>
      <c r="M119" s="4" t="e">
        <f t="shared" si="68"/>
        <v>#VALUE!</v>
      </c>
      <c r="N119" s="4" t="e">
        <f t="shared" si="68"/>
        <v>#VALUE!</v>
      </c>
      <c r="O119" s="4" t="e">
        <f t="shared" si="68"/>
        <v>#VALUE!</v>
      </c>
      <c r="P119" s="4" t="e">
        <f t="shared" si="68"/>
        <v>#VALUE!</v>
      </c>
      <c r="Q119" s="4" t="e">
        <f t="shared" si="68"/>
        <v>#VALUE!</v>
      </c>
      <c r="R119" s="4" t="e">
        <f t="shared" si="68"/>
        <v>#VALUE!</v>
      </c>
      <c r="S119" s="4" t="e">
        <f t="shared" si="68"/>
        <v>#VALUE!</v>
      </c>
      <c r="T119" s="4" t="e">
        <f t="shared" si="68"/>
        <v>#VALUE!</v>
      </c>
      <c r="U119" s="4" t="e">
        <f t="shared" si="68"/>
        <v>#VALUE!</v>
      </c>
      <c r="V119" s="4" t="e">
        <f t="shared" si="68"/>
        <v>#VALUE!</v>
      </c>
      <c r="W119" s="4" t="e">
        <f t="shared" si="68"/>
        <v>#VALUE!</v>
      </c>
      <c r="X119" s="4" t="e">
        <f t="shared" si="68"/>
        <v>#VALUE!</v>
      </c>
      <c r="Y119" s="4" t="e">
        <f t="shared" si="68"/>
        <v>#VALUE!</v>
      </c>
      <c r="Z119" s="4" t="e">
        <f t="shared" si="68"/>
        <v>#VALUE!</v>
      </c>
      <c r="AA119" s="4" t="e">
        <f t="shared" si="68"/>
        <v>#VALUE!</v>
      </c>
      <c r="AB119" s="4" t="e">
        <f t="shared" si="68"/>
        <v>#VALUE!</v>
      </c>
    </row>
    <row r="120" spans="1:28" s="14" customFormat="1" ht="12.75">
      <c r="A120" s="14" t="s">
        <v>27</v>
      </c>
      <c r="C120" s="15">
        <f>C119</f>
        <v>9786.58082156648</v>
      </c>
      <c r="D120" s="15">
        <f aca="true" t="shared" si="69" ref="D120:AB120">D119</f>
        <v>19510.9825742261</v>
      </c>
      <c r="E120" s="15">
        <f t="shared" si="69"/>
        <v>37725.051075556745</v>
      </c>
      <c r="F120" s="15">
        <f t="shared" si="69"/>
        <v>46636.90068769833</v>
      </c>
      <c r="G120" s="15">
        <f t="shared" si="69"/>
        <v>36748.387458910816</v>
      </c>
      <c r="H120" s="15">
        <f t="shared" si="69"/>
        <v>23281.68845906081</v>
      </c>
      <c r="I120" s="15">
        <f t="shared" si="69"/>
        <v>13209.102615678288</v>
      </c>
      <c r="J120" s="15">
        <f t="shared" si="69"/>
        <v>9837.454217937915</v>
      </c>
      <c r="K120" s="15">
        <f t="shared" si="69"/>
        <v>6169.884104867443</v>
      </c>
      <c r="L120" s="15">
        <f t="shared" si="69"/>
        <v>1213.591676870943</v>
      </c>
      <c r="M120" s="15" t="e">
        <f t="shared" si="69"/>
        <v>#VALUE!</v>
      </c>
      <c r="N120" s="15" t="e">
        <f t="shared" si="69"/>
        <v>#VALUE!</v>
      </c>
      <c r="O120" s="15" t="e">
        <f t="shared" si="69"/>
        <v>#VALUE!</v>
      </c>
      <c r="P120" s="15" t="e">
        <f t="shared" si="69"/>
        <v>#VALUE!</v>
      </c>
      <c r="Q120" s="15" t="e">
        <f t="shared" si="69"/>
        <v>#VALUE!</v>
      </c>
      <c r="R120" s="15" t="e">
        <f t="shared" si="69"/>
        <v>#VALUE!</v>
      </c>
      <c r="S120" s="15" t="e">
        <f t="shared" si="69"/>
        <v>#VALUE!</v>
      </c>
      <c r="T120" s="15" t="e">
        <f t="shared" si="69"/>
        <v>#VALUE!</v>
      </c>
      <c r="U120" s="15" t="e">
        <f t="shared" si="69"/>
        <v>#VALUE!</v>
      </c>
      <c r="V120" s="15" t="e">
        <f t="shared" si="69"/>
        <v>#VALUE!</v>
      </c>
      <c r="W120" s="15" t="e">
        <f t="shared" si="69"/>
        <v>#VALUE!</v>
      </c>
      <c r="X120" s="15" t="e">
        <f t="shared" si="69"/>
        <v>#VALUE!</v>
      </c>
      <c r="Y120" s="15" t="e">
        <f t="shared" si="69"/>
        <v>#VALUE!</v>
      </c>
      <c r="Z120" s="15" t="e">
        <f t="shared" si="69"/>
        <v>#VALUE!</v>
      </c>
      <c r="AA120" s="15" t="e">
        <f t="shared" si="69"/>
        <v>#VALUE!</v>
      </c>
      <c r="AB120" s="15" t="e">
        <f t="shared" si="69"/>
        <v>#VALUE!</v>
      </c>
    </row>
    <row r="121" spans="1:28" s="14" customFormat="1" ht="12.75">
      <c r="A121" s="14" t="s">
        <v>62</v>
      </c>
      <c r="C121" s="15">
        <f aca="true" t="shared" si="70" ref="C121:AB121">C111+C114+C117+C120</f>
        <v>239786.5808215665</v>
      </c>
      <c r="D121" s="15">
        <f t="shared" si="70"/>
        <v>19510.9825742261</v>
      </c>
      <c r="E121" s="15">
        <f t="shared" si="70"/>
        <v>37725.051075556745</v>
      </c>
      <c r="F121" s="15">
        <f t="shared" si="70"/>
        <v>46636.90068769833</v>
      </c>
      <c r="G121" s="15">
        <f t="shared" si="70"/>
        <v>36748.387458910816</v>
      </c>
      <c r="H121" s="15">
        <f t="shared" si="70"/>
        <v>46340.67135257855</v>
      </c>
      <c r="I121" s="15">
        <f t="shared" si="70"/>
        <v>13209.102615678288</v>
      </c>
      <c r="J121" s="15">
        <f t="shared" si="70"/>
        <v>9837.454217937915</v>
      </c>
      <c r="K121" s="15">
        <f t="shared" si="70"/>
        <v>6169.884104867443</v>
      </c>
      <c r="L121" s="15">
        <f t="shared" si="70"/>
        <v>1213.591676870943</v>
      </c>
      <c r="M121" s="15" t="e">
        <f t="shared" si="70"/>
        <v>#VALUE!</v>
      </c>
      <c r="N121" s="15" t="e">
        <f t="shared" si="70"/>
        <v>#VALUE!</v>
      </c>
      <c r="O121" s="15" t="e">
        <f t="shared" si="70"/>
        <v>#VALUE!</v>
      </c>
      <c r="P121" s="15" t="e">
        <f t="shared" si="70"/>
        <v>#VALUE!</v>
      </c>
      <c r="Q121" s="15" t="e">
        <f t="shared" si="70"/>
        <v>#VALUE!</v>
      </c>
      <c r="R121" s="15" t="e">
        <f t="shared" si="70"/>
        <v>#VALUE!</v>
      </c>
      <c r="S121" s="15" t="e">
        <f t="shared" si="70"/>
        <v>#VALUE!</v>
      </c>
      <c r="T121" s="15" t="e">
        <f t="shared" si="70"/>
        <v>#VALUE!</v>
      </c>
      <c r="U121" s="15" t="e">
        <f t="shared" si="70"/>
        <v>#VALUE!</v>
      </c>
      <c r="V121" s="15" t="e">
        <f t="shared" si="70"/>
        <v>#VALUE!</v>
      </c>
      <c r="W121" s="15" t="e">
        <f t="shared" si="70"/>
        <v>#VALUE!</v>
      </c>
      <c r="X121" s="15" t="e">
        <f t="shared" si="70"/>
        <v>#VALUE!</v>
      </c>
      <c r="Y121" s="15" t="e">
        <f t="shared" si="70"/>
        <v>#VALUE!</v>
      </c>
      <c r="Z121" s="15" t="e">
        <f t="shared" si="70"/>
        <v>#VALUE!</v>
      </c>
      <c r="AA121" s="15" t="e">
        <f t="shared" si="70"/>
        <v>#VALUE!</v>
      </c>
      <c r="AB121" s="15" t="e">
        <f t="shared" si="70"/>
        <v>#VALUE!</v>
      </c>
    </row>
    <row r="122" spans="3:28" s="10" customFormat="1" ht="13.5" thickBot="1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20" customFormat="1" ht="13.5" thickTop="1">
      <c r="A123" s="22" t="s">
        <v>66</v>
      </c>
      <c r="C123" s="21">
        <f aca="true" t="shared" si="71" ref="C123:AB123">C103-C121</f>
        <v>-342301.35532399046</v>
      </c>
      <c r="D123" s="21">
        <f t="shared" si="71"/>
        <v>-32866.223033925984</v>
      </c>
      <c r="E123" s="21">
        <f t="shared" si="71"/>
        <v>55186.98991365944</v>
      </c>
      <c r="F123" s="21">
        <f t="shared" si="71"/>
        <v>302831.4804662427</v>
      </c>
      <c r="G123" s="21">
        <f t="shared" si="71"/>
        <v>450854.5941905609</v>
      </c>
      <c r="H123" s="21">
        <f t="shared" si="71"/>
        <v>596929.8823584517</v>
      </c>
      <c r="I123" s="21">
        <f t="shared" si="71"/>
        <v>704911.980522742</v>
      </c>
      <c r="J123" s="21">
        <f t="shared" si="71"/>
        <v>731453.5014466392</v>
      </c>
      <c r="K123" s="21">
        <f t="shared" si="71"/>
        <v>753256.3354014872</v>
      </c>
      <c r="L123" s="21">
        <f t="shared" si="71"/>
        <v>799062.5447006687</v>
      </c>
      <c r="M123" s="21" t="e">
        <f t="shared" si="71"/>
        <v>#VALUE!</v>
      </c>
      <c r="N123" s="21" t="e">
        <f t="shared" si="71"/>
        <v>#VALUE!</v>
      </c>
      <c r="O123" s="21" t="e">
        <f t="shared" si="71"/>
        <v>#VALUE!</v>
      </c>
      <c r="P123" s="21" t="e">
        <f t="shared" si="71"/>
        <v>#VALUE!</v>
      </c>
      <c r="Q123" s="21" t="e">
        <f t="shared" si="71"/>
        <v>#VALUE!</v>
      </c>
      <c r="R123" s="21" t="e">
        <f t="shared" si="71"/>
        <v>#VALUE!</v>
      </c>
      <c r="S123" s="21" t="e">
        <f t="shared" si="71"/>
        <v>#VALUE!</v>
      </c>
      <c r="T123" s="21" t="e">
        <f t="shared" si="71"/>
        <v>#VALUE!</v>
      </c>
      <c r="U123" s="21" t="e">
        <f t="shared" si="71"/>
        <v>#VALUE!</v>
      </c>
      <c r="V123" s="21" t="e">
        <f t="shared" si="71"/>
        <v>#VALUE!</v>
      </c>
      <c r="W123" s="21" t="e">
        <f t="shared" si="71"/>
        <v>#VALUE!</v>
      </c>
      <c r="X123" s="21" t="e">
        <f t="shared" si="71"/>
        <v>#VALUE!</v>
      </c>
      <c r="Y123" s="21" t="e">
        <f t="shared" si="71"/>
        <v>#VALUE!</v>
      </c>
      <c r="Z123" s="21" t="e">
        <f t="shared" si="71"/>
        <v>#VALUE!</v>
      </c>
      <c r="AA123" s="21" t="e">
        <f t="shared" si="71"/>
        <v>#VALUE!</v>
      </c>
      <c r="AB123" s="21" t="e">
        <f t="shared" si="71"/>
        <v>#VALUE!</v>
      </c>
    </row>
    <row r="124" spans="1:28" s="10" customFormat="1" ht="12.75">
      <c r="A124" s="3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ht="15.75">
      <c r="A125" s="29" t="s">
        <v>94</v>
      </c>
    </row>
    <row r="126" ht="12.75">
      <c r="A126" s="17" t="s">
        <v>102</v>
      </c>
    </row>
    <row r="127" ht="12.75">
      <c r="A127" s="17" t="s">
        <v>103</v>
      </c>
    </row>
    <row r="128" spans="1:28" s="10" customFormat="1" ht="12.75">
      <c r="A128" s="9" t="s">
        <v>68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10" customFormat="1" ht="12.75">
      <c r="A129" s="18" t="s">
        <v>93</v>
      </c>
      <c r="B129" s="34">
        <v>12400000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s="10" customFormat="1" ht="12.75">
      <c r="A130" s="18" t="s">
        <v>70</v>
      </c>
      <c r="B130" s="12">
        <f>12501000000/(573375056*54.18)</f>
        <v>0.40240832696769213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10" customFormat="1" ht="12.75">
      <c r="A131" s="18" t="s">
        <v>109</v>
      </c>
      <c r="B131" s="25">
        <v>0.067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10" customFormat="1" ht="12.75">
      <c r="A132" s="18" t="s">
        <v>71</v>
      </c>
      <c r="B132" s="26">
        <v>1.3</v>
      </c>
      <c r="C132" s="27"/>
      <c r="D132" s="25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10" customFormat="1" ht="12.75">
      <c r="A133" s="18" t="s">
        <v>108</v>
      </c>
      <c r="B133" s="25">
        <v>0.142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10" customFormat="1" ht="12.75">
      <c r="A134" s="18" t="s">
        <v>72</v>
      </c>
      <c r="B134" s="25">
        <f>1100/12493</f>
        <v>0.08804930761226287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10" customFormat="1" ht="12.75">
      <c r="A135" s="18" t="s">
        <v>75</v>
      </c>
      <c r="B135" s="25">
        <v>0.02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10" customFormat="1" ht="12.75">
      <c r="A136" s="18"/>
      <c r="B136" s="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10" customFormat="1" ht="12.75">
      <c r="A137" s="9" t="s">
        <v>69</v>
      </c>
      <c r="B137" s="25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10" customFormat="1" ht="12.75">
      <c r="A138" s="18" t="s">
        <v>67</v>
      </c>
      <c r="B138" s="25">
        <f>B131+B132*(B133-B131)</f>
        <v>0.16449999999999998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10" customFormat="1" ht="12.75">
      <c r="A139" s="18" t="s">
        <v>84</v>
      </c>
      <c r="B139" s="25">
        <f>(B141/B140)*B138</f>
        <v>0.18933821396375972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10" customFormat="1" ht="12.75">
      <c r="A140" s="18" t="s">
        <v>83</v>
      </c>
      <c r="B140" s="25">
        <f>(1/(1+$B$130))*B138+($B$130/(1+$B$130))*B134*(1-$B$16)</f>
        <v>0.1324571889428235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10" customFormat="1" ht="12.75">
      <c r="A141" s="18" t="s">
        <v>85</v>
      </c>
      <c r="B141" s="25">
        <f>(1/(1+B130))*B138+(B130/(B130+1))*B134*(1-$B$16)+B135</f>
        <v>0.15245718894282348</v>
      </c>
      <c r="C141" s="25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10" customFormat="1" ht="12.75">
      <c r="A142" s="18"/>
      <c r="B142" s="25"/>
      <c r="C142" s="25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ht="12.75">
      <c r="A143" s="9" t="s">
        <v>98</v>
      </c>
    </row>
    <row r="144" spans="1:28" s="10" customFormat="1" ht="12.75">
      <c r="A144" s="10" t="s">
        <v>74</v>
      </c>
      <c r="B144" s="24">
        <v>1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s="10" customFormat="1" ht="12.75">
      <c r="A145" s="18" t="s">
        <v>89</v>
      </c>
      <c r="B145" s="11">
        <f ca="1">(B129/(B5*B6))*B144*NPV($B$141,C123:OFFSET(C123,0,$B$8-1,1,1))</f>
        <v>1018846283.0512804</v>
      </c>
      <c r="C145" s="27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10" customFormat="1" ht="12.75">
      <c r="A146" t="s">
        <v>87</v>
      </c>
      <c r="B146" s="8">
        <f>(B129/(B5*B6))*B144*(1/(1+$B$141)^$B$8)*(INDEX(C123:AB123,1,$B$8)/$B$141)</f>
        <v>1023800464.2245653</v>
      </c>
      <c r="C146" s="27"/>
      <c r="D146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10" customFormat="1" ht="12.75">
      <c r="A147" s="14" t="s">
        <v>88</v>
      </c>
      <c r="B147" s="40">
        <f>B145+B146</f>
        <v>2042646747.2758455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4" ht="12.75">
      <c r="A148" s="28" t="s">
        <v>96</v>
      </c>
      <c r="B148" s="36">
        <f>B147/B129</f>
        <v>164.72957639321334</v>
      </c>
      <c r="C148" s="11"/>
      <c r="D148" s="33"/>
    </row>
    <row r="149" spans="1:2" ht="12.75">
      <c r="A149" s="28" t="s">
        <v>104</v>
      </c>
      <c r="B149" s="11">
        <v>59</v>
      </c>
    </row>
    <row r="150" spans="1:3" ht="15.75">
      <c r="A150" s="38" t="s">
        <v>110</v>
      </c>
      <c r="B150" s="46">
        <f>B148-B149</f>
        <v>105.72957639321334</v>
      </c>
      <c r="C150" s="29"/>
    </row>
    <row r="151" spans="1:3" ht="15.75">
      <c r="A151" s="35"/>
      <c r="B151" s="37"/>
      <c r="C151" s="29"/>
    </row>
    <row r="152" ht="15.75">
      <c r="A152" s="35" t="s">
        <v>95</v>
      </c>
    </row>
    <row r="153" spans="1:2" ht="15.75">
      <c r="A153" s="49" t="s">
        <v>112</v>
      </c>
      <c r="B153" s="41"/>
    </row>
    <row r="154" spans="1:2" ht="15.75">
      <c r="A154" s="49" t="s">
        <v>113</v>
      </c>
      <c r="B154" s="41"/>
    </row>
    <row r="155" spans="1:2" ht="15.75">
      <c r="A155" s="50" t="s">
        <v>114</v>
      </c>
      <c r="B155" s="41"/>
    </row>
    <row r="156" spans="1:2" ht="12.75">
      <c r="A156" s="28" t="s">
        <v>97</v>
      </c>
      <c r="B156" s="43">
        <v>2</v>
      </c>
    </row>
    <row r="157" spans="1:2" ht="12.75">
      <c r="A157" s="28" t="s">
        <v>107</v>
      </c>
      <c r="B157" s="44">
        <v>33.9375</v>
      </c>
    </row>
    <row r="158" spans="1:2" ht="12.75">
      <c r="A158" s="28" t="s">
        <v>91</v>
      </c>
      <c r="B158" s="44">
        <v>0.5</v>
      </c>
    </row>
    <row r="159" spans="1:2" ht="12.75">
      <c r="A159" s="45" t="s">
        <v>92</v>
      </c>
      <c r="B159" s="48">
        <f>B157-B158</f>
        <v>33.4375</v>
      </c>
    </row>
    <row r="160" spans="1:3" ht="15.75">
      <c r="A160" s="35" t="s">
        <v>111</v>
      </c>
      <c r="B160" s="37">
        <f>(2*B159)/B6</f>
        <v>111.45833333333334</v>
      </c>
      <c r="C160" s="29"/>
    </row>
    <row r="161" spans="1:2" ht="15.75">
      <c r="A161" s="35"/>
      <c r="B161" s="41"/>
    </row>
    <row r="162" spans="1:2" ht="15.75">
      <c r="A162" s="35" t="s">
        <v>90</v>
      </c>
      <c r="B162" s="42">
        <f>ABS(1-B150/B160)</f>
        <v>0.05139819310761873</v>
      </c>
    </row>
    <row r="163" spans="1:2" ht="15.75">
      <c r="A163" s="35"/>
      <c r="B163" s="39"/>
    </row>
    <row r="164" ht="12.75">
      <c r="A164" t="s">
        <v>101</v>
      </c>
    </row>
    <row r="165" ht="12.75">
      <c r="A165" s="11" t="s">
        <v>105</v>
      </c>
    </row>
    <row r="166" ht="12.75">
      <c r="A166" t="str">
        <f>CONCATENATE("***  Must be recalculated manually by subtracting a payment to @Home of 35% of the ",A11)</f>
        <v>***  Must be recalculated manually by subtracting a payment to @Home of 35% of the Cable Modem Service Monthly Charge per User</v>
      </c>
    </row>
    <row r="167" ht="12.75">
      <c r="A167" s="9" t="s">
        <v>106</v>
      </c>
    </row>
  </sheetData>
  <printOptions/>
  <pageMargins left="0.75" right="0.75" top="1" bottom="1" header="0.5" footer="0.5"/>
  <pageSetup horizontalDpi="200" verticalDpi="2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Gardner</dc:creator>
  <cp:keywords/>
  <dc:description/>
  <cp:lastModifiedBy>Christopher Gardner</cp:lastModifiedBy>
  <cp:lastPrinted>1998-05-18T03:09:49Z</cp:lastPrinted>
  <dcterms:created xsi:type="dcterms:W3CDTF">1998-03-10T04:18:14Z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